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ister\Desktop\"/>
    </mc:Choice>
  </mc:AlternateContent>
  <bookViews>
    <workbookView xWindow="600" yWindow="165" windowWidth="14055" windowHeight="7575" tabRatio="834" activeTab="7"/>
  </bookViews>
  <sheets>
    <sheet name="Ausgangsdaten" sheetId="8" r:id="rId1"/>
    <sheet name="Budgets LR" sheetId="5" r:id="rId2"/>
    <sheet name="Weiterführung LR" sheetId="7" r:id="rId3"/>
    <sheet name="Änderungen LR" sheetId="10" r:id="rId4"/>
    <sheet name="Zinsänderung" sheetId="12" r:id="rId5"/>
    <sheet name="Investitionen" sheetId="11" r:id="rId6"/>
    <sheet name="Abschreibungen" sheetId="14" r:id="rId7"/>
    <sheet name="Zusammenfassung" sheetId="9" r:id="rId8"/>
    <sheet name="Abschr. Bilanzfehlbetrag" sheetId="16" r:id="rId9"/>
  </sheets>
  <externalReferences>
    <externalReference r:id="rId10"/>
  </externalReferences>
  <definedNames>
    <definedName name="Budget1">'[1]F0a Ausgangslage'!$M$13</definedName>
    <definedName name="Budget2">'[1]F0a Ausgangslage'!$M$14</definedName>
    <definedName name="_xlnm.Print_Area" localSheetId="8">'Abschr. Bilanzfehlbetrag'!$A$1:$L$119</definedName>
    <definedName name="_xlnm.Print_Area" localSheetId="6">Abschreibungen!$A$1:$J$46</definedName>
    <definedName name="_xlnm.Print_Area" localSheetId="3">'Änderungen LR'!$A$1:$H$40</definedName>
    <definedName name="_xlnm.Print_Area" localSheetId="0">Ausgangsdaten!$A$1:$J$64</definedName>
    <definedName name="_xlnm.Print_Area" localSheetId="1">'Budgets LR'!$A$1:$G$62</definedName>
    <definedName name="_xlnm.Print_Area" localSheetId="5">Investitionen!$A$1:$J$41</definedName>
    <definedName name="_xlnm.Print_Area" localSheetId="2">'Weiterführung LR'!$A$1:$J$54</definedName>
    <definedName name="_xlnm.Print_Area" localSheetId="4">Zinsänderung!$A$1:$J$84</definedName>
    <definedName name="_xlnm.Print_Area" localSheetId="7">Zusammenfassung!$A$1:$J$61</definedName>
    <definedName name="Finz1">'[1]F0a Ausgangslage'!$M$10</definedName>
    <definedName name="Gmd">'[1]F0a Ausgangslage'!$E$6</definedName>
  </definedNames>
  <calcPr calcId="162913"/>
</workbook>
</file>

<file path=xl/calcChain.xml><?xml version="1.0" encoding="utf-8"?>
<calcChain xmlns="http://schemas.openxmlformats.org/spreadsheetml/2006/main">
  <c r="J54" i="9" l="1"/>
  <c r="I54" i="9"/>
  <c r="H54" i="9"/>
  <c r="G54" i="9"/>
  <c r="F54" i="9"/>
  <c r="G25" i="9"/>
  <c r="H25" i="9"/>
  <c r="I25" i="9"/>
  <c r="J25" i="9"/>
  <c r="F25" i="9"/>
  <c r="J83" i="12"/>
  <c r="I83" i="12"/>
  <c r="H83" i="12"/>
  <c r="G83" i="12"/>
  <c r="F83" i="12"/>
  <c r="E83" i="12"/>
  <c r="A83" i="12"/>
  <c r="C38" i="9" l="1"/>
  <c r="J46" i="14" l="1"/>
  <c r="I46" i="14"/>
  <c r="H46" i="14"/>
  <c r="G46" i="14"/>
  <c r="F46" i="14"/>
  <c r="E46" i="14"/>
  <c r="D46" i="14"/>
  <c r="J46" i="9"/>
  <c r="K115" i="16" l="1"/>
  <c r="J115" i="16" s="1"/>
  <c r="K114" i="16"/>
  <c r="J114" i="16" s="1"/>
  <c r="J101" i="16"/>
  <c r="K101" i="16"/>
  <c r="K87" i="16"/>
  <c r="J87" i="16" s="1"/>
  <c r="K73" i="16"/>
  <c r="K86" i="16" s="1"/>
  <c r="K59" i="16"/>
  <c r="K72" i="16" s="1"/>
  <c r="J72" i="16" s="1"/>
  <c r="J59" i="16"/>
  <c r="C40" i="9"/>
  <c r="C39" i="9"/>
  <c r="E60" i="9"/>
  <c r="F60" i="9"/>
  <c r="G60" i="9"/>
  <c r="H60" i="9"/>
  <c r="I60" i="9"/>
  <c r="J60" i="9"/>
  <c r="D60" i="9"/>
  <c r="E59" i="9"/>
  <c r="F59" i="9"/>
  <c r="G59" i="9"/>
  <c r="H59" i="9"/>
  <c r="I59" i="9"/>
  <c r="J59" i="9"/>
  <c r="D59" i="9"/>
  <c r="J73" i="16" l="1"/>
  <c r="K100" i="16"/>
  <c r="J86" i="16"/>
  <c r="K99" i="16"/>
  <c r="K112" i="16" s="1"/>
  <c r="J112" i="16" s="1"/>
  <c r="K85" i="16"/>
  <c r="K98" i="16" s="1"/>
  <c r="K111" i="16" s="1"/>
  <c r="J111" i="16" s="1"/>
  <c r="J99" i="16"/>
  <c r="J31" i="16"/>
  <c r="K44" i="16" s="1"/>
  <c r="J30" i="16"/>
  <c r="K43" i="16" s="1"/>
  <c r="J29" i="16"/>
  <c r="K42" i="16" s="1"/>
  <c r="J28" i="16"/>
  <c r="K41" i="16" s="1"/>
  <c r="J27" i="16"/>
  <c r="K40" i="16" s="1"/>
  <c r="J26" i="16"/>
  <c r="K39" i="16" s="1"/>
  <c r="J25" i="16"/>
  <c r="K38" i="16" s="1"/>
  <c r="J24" i="16"/>
  <c r="K37" i="16" s="1"/>
  <c r="J23" i="16"/>
  <c r="K36" i="16" s="1"/>
  <c r="J36" i="16" s="1"/>
  <c r="J22" i="16"/>
  <c r="A80" i="12"/>
  <c r="A79" i="12"/>
  <c r="M32" i="12"/>
  <c r="N32" i="12"/>
  <c r="O32" i="12"/>
  <c r="P32" i="12"/>
  <c r="Q32" i="12"/>
  <c r="R32" i="12"/>
  <c r="M33" i="12"/>
  <c r="N33" i="12"/>
  <c r="O33" i="12"/>
  <c r="P33" i="12"/>
  <c r="Q33" i="12"/>
  <c r="R33" i="12"/>
  <c r="M34" i="12"/>
  <c r="N34" i="12"/>
  <c r="O34" i="12"/>
  <c r="P34" i="12"/>
  <c r="Q34" i="12"/>
  <c r="R34" i="12"/>
  <c r="M35" i="12"/>
  <c r="N35" i="12"/>
  <c r="O35" i="12"/>
  <c r="P35" i="12"/>
  <c r="Q35" i="12"/>
  <c r="R35" i="12"/>
  <c r="M36" i="12"/>
  <c r="N36" i="12"/>
  <c r="O36" i="12"/>
  <c r="P36" i="12"/>
  <c r="Q36" i="12"/>
  <c r="R36" i="12"/>
  <c r="M37" i="12"/>
  <c r="N37" i="12"/>
  <c r="O37" i="12"/>
  <c r="P37" i="12"/>
  <c r="Q37" i="12"/>
  <c r="R37" i="12"/>
  <c r="M38" i="12"/>
  <c r="N38" i="12"/>
  <c r="O38" i="12"/>
  <c r="P38" i="12"/>
  <c r="Q38" i="12"/>
  <c r="R38" i="12"/>
  <c r="M39" i="12"/>
  <c r="N39" i="12"/>
  <c r="O39" i="12"/>
  <c r="P39" i="12"/>
  <c r="Q39" i="12"/>
  <c r="R39" i="12"/>
  <c r="M40" i="12"/>
  <c r="N40" i="12"/>
  <c r="O40" i="12"/>
  <c r="P40" i="12"/>
  <c r="Q40" i="12"/>
  <c r="R40" i="12"/>
  <c r="M41" i="12"/>
  <c r="N41" i="12"/>
  <c r="O41" i="12"/>
  <c r="P41" i="12"/>
  <c r="Q41" i="12"/>
  <c r="R41" i="12"/>
  <c r="R31" i="12"/>
  <c r="Q31" i="12"/>
  <c r="P31" i="12"/>
  <c r="O31" i="12"/>
  <c r="N31" i="12"/>
  <c r="M31" i="12"/>
  <c r="L32" i="12"/>
  <c r="L33" i="12"/>
  <c r="L34" i="12"/>
  <c r="L35" i="12"/>
  <c r="L36" i="12"/>
  <c r="L37" i="12"/>
  <c r="L38" i="12"/>
  <c r="L39" i="12"/>
  <c r="L40" i="12"/>
  <c r="L41" i="12"/>
  <c r="L31" i="12"/>
  <c r="E30" i="12"/>
  <c r="L16" i="12"/>
  <c r="L17" i="12"/>
  <c r="L18" i="12"/>
  <c r="L19" i="12"/>
  <c r="L20" i="12"/>
  <c r="L21" i="12"/>
  <c r="L22" i="12"/>
  <c r="L23" i="12"/>
  <c r="L24" i="12"/>
  <c r="L25" i="12"/>
  <c r="L26" i="12"/>
  <c r="L48" i="12"/>
  <c r="L49" i="12"/>
  <c r="L50" i="12"/>
  <c r="L51" i="12"/>
  <c r="L52" i="12"/>
  <c r="L53" i="12"/>
  <c r="L54" i="12"/>
  <c r="L55" i="12"/>
  <c r="L56" i="12"/>
  <c r="L57" i="12"/>
  <c r="L58" i="12"/>
  <c r="L63" i="12"/>
  <c r="L64" i="12"/>
  <c r="L65" i="12"/>
  <c r="L66" i="12"/>
  <c r="L67" i="12"/>
  <c r="L68" i="12"/>
  <c r="L69" i="12"/>
  <c r="L70" i="12"/>
  <c r="L71" i="12"/>
  <c r="L72" i="12"/>
  <c r="L73" i="12"/>
  <c r="K113" i="16" l="1"/>
  <c r="J100" i="16"/>
  <c r="J98" i="16"/>
  <c r="J85" i="16"/>
  <c r="J44" i="16"/>
  <c r="K57" i="16"/>
  <c r="J43" i="16"/>
  <c r="K56" i="16"/>
  <c r="K55" i="16"/>
  <c r="J42" i="16"/>
  <c r="J41" i="16"/>
  <c r="K54" i="16"/>
  <c r="J40" i="16"/>
  <c r="K53" i="16"/>
  <c r="K52" i="16"/>
  <c r="J39" i="16"/>
  <c r="K51" i="16"/>
  <c r="J38" i="16"/>
  <c r="J37" i="16"/>
  <c r="K50" i="16"/>
  <c r="J50" i="16" s="1"/>
  <c r="J32" i="16"/>
  <c r="L59" i="12"/>
  <c r="L74" i="12"/>
  <c r="D74" i="12" s="1"/>
  <c r="L27" i="12"/>
  <c r="D27" i="12" s="1"/>
  <c r="P42" i="12"/>
  <c r="H42" i="12" s="1"/>
  <c r="M42" i="12"/>
  <c r="E42" i="12" s="1"/>
  <c r="O42" i="12"/>
  <c r="G42" i="12" s="1"/>
  <c r="R42" i="12"/>
  <c r="J42" i="12" s="1"/>
  <c r="Q42" i="12"/>
  <c r="I42" i="12" s="1"/>
  <c r="N42" i="12"/>
  <c r="F42" i="12" s="1"/>
  <c r="L42" i="12"/>
  <c r="D42" i="12" s="1"/>
  <c r="I30" i="12"/>
  <c r="F30" i="12"/>
  <c r="J30" i="12"/>
  <c r="G30" i="12"/>
  <c r="H30" i="12"/>
  <c r="D59" i="12"/>
  <c r="K70" i="16" l="1"/>
  <c r="J57" i="16"/>
  <c r="J56" i="16"/>
  <c r="K69" i="16"/>
  <c r="K68" i="16"/>
  <c r="J55" i="16"/>
  <c r="J54" i="16"/>
  <c r="K67" i="16"/>
  <c r="K66" i="16"/>
  <c r="J53" i="16"/>
  <c r="K65" i="16"/>
  <c r="J52" i="16"/>
  <c r="J51" i="16"/>
  <c r="K64" i="16"/>
  <c r="J64" i="16" s="1"/>
  <c r="J89" i="16"/>
  <c r="D44" i="12"/>
  <c r="D79" i="12" s="1"/>
  <c r="D76" i="12"/>
  <c r="D80" i="12" s="1"/>
  <c r="J40" i="11"/>
  <c r="I40" i="11"/>
  <c r="H39" i="11"/>
  <c r="G39" i="11"/>
  <c r="F39" i="11"/>
  <c r="E39" i="11"/>
  <c r="D39" i="11"/>
  <c r="D47" i="9" s="1"/>
  <c r="D39" i="10"/>
  <c r="E39" i="10"/>
  <c r="F39" i="10"/>
  <c r="G39" i="10"/>
  <c r="H39" i="10"/>
  <c r="C39" i="10"/>
  <c r="G12" i="5"/>
  <c r="G44" i="5"/>
  <c r="D82" i="12" l="1"/>
  <c r="E25" i="9" s="1"/>
  <c r="K83" i="16"/>
  <c r="J70" i="16"/>
  <c r="K82" i="16"/>
  <c r="J69" i="16"/>
  <c r="K81" i="16"/>
  <c r="J68" i="16"/>
  <c r="J67" i="16"/>
  <c r="K80" i="16"/>
  <c r="K79" i="16"/>
  <c r="J66" i="16"/>
  <c r="K78" i="16"/>
  <c r="J78" i="16" s="1"/>
  <c r="J65" i="16"/>
  <c r="K96" i="16" l="1"/>
  <c r="J83" i="16"/>
  <c r="K95" i="16"/>
  <c r="J82" i="16"/>
  <c r="K94" i="16"/>
  <c r="J81" i="16"/>
  <c r="J80" i="16"/>
  <c r="K93" i="16"/>
  <c r="J79" i="16"/>
  <c r="K92" i="16"/>
  <c r="J92" i="16" s="1"/>
  <c r="M48" i="12"/>
  <c r="N48" i="12"/>
  <c r="O48" i="12"/>
  <c r="P48" i="12"/>
  <c r="Q48" i="12"/>
  <c r="R48" i="12"/>
  <c r="M49" i="12"/>
  <c r="N49" i="12"/>
  <c r="O49" i="12"/>
  <c r="P49" i="12"/>
  <c r="Q49" i="12"/>
  <c r="R49" i="12"/>
  <c r="M50" i="12"/>
  <c r="N50" i="12"/>
  <c r="O50" i="12"/>
  <c r="P50" i="12"/>
  <c r="Q50" i="12"/>
  <c r="R50" i="12"/>
  <c r="M51" i="12"/>
  <c r="N51" i="12"/>
  <c r="O51" i="12"/>
  <c r="P51" i="12"/>
  <c r="Q51" i="12"/>
  <c r="R51" i="12"/>
  <c r="M52" i="12"/>
  <c r="N52" i="12"/>
  <c r="O52" i="12"/>
  <c r="P52" i="12"/>
  <c r="Q52" i="12"/>
  <c r="R52" i="12"/>
  <c r="M53" i="12"/>
  <c r="N53" i="12"/>
  <c r="O53" i="12"/>
  <c r="P53" i="12"/>
  <c r="Q53" i="12"/>
  <c r="R53" i="12"/>
  <c r="M54" i="12"/>
  <c r="N54" i="12"/>
  <c r="O54" i="12"/>
  <c r="P54" i="12"/>
  <c r="Q54" i="12"/>
  <c r="R54" i="12"/>
  <c r="M55" i="12"/>
  <c r="N55" i="12"/>
  <c r="O55" i="12"/>
  <c r="P55" i="12"/>
  <c r="Q55" i="12"/>
  <c r="R55" i="12"/>
  <c r="M56" i="12"/>
  <c r="N56" i="12"/>
  <c r="O56" i="12"/>
  <c r="P56" i="12"/>
  <c r="Q56" i="12"/>
  <c r="R56" i="12"/>
  <c r="M57" i="12"/>
  <c r="N57" i="12"/>
  <c r="O57" i="12"/>
  <c r="P57" i="12"/>
  <c r="Q57" i="12"/>
  <c r="R57" i="12"/>
  <c r="M58" i="12"/>
  <c r="N58" i="12"/>
  <c r="O58" i="12"/>
  <c r="P58" i="12"/>
  <c r="Q58" i="12"/>
  <c r="R58" i="12"/>
  <c r="J96" i="16" l="1"/>
  <c r="K109" i="16"/>
  <c r="J109" i="16" s="1"/>
  <c r="K108" i="16"/>
  <c r="J108" i="16" s="1"/>
  <c r="J95" i="16"/>
  <c r="K107" i="16"/>
  <c r="J107" i="16" s="1"/>
  <c r="J94" i="16"/>
  <c r="J93" i="16"/>
  <c r="K106" i="16"/>
  <c r="J106" i="16" s="1"/>
  <c r="Q59" i="12"/>
  <c r="I59" i="12" s="1"/>
  <c r="M59" i="12"/>
  <c r="E59" i="12" s="1"/>
  <c r="P59" i="12"/>
  <c r="H59" i="12" s="1"/>
  <c r="O59" i="12"/>
  <c r="G59" i="12" s="1"/>
  <c r="R59" i="12"/>
  <c r="J59" i="12" s="1"/>
  <c r="N59" i="12"/>
  <c r="F59" i="12" s="1"/>
  <c r="J47" i="16"/>
  <c r="F37" i="9"/>
  <c r="G37" i="9"/>
  <c r="H37" i="9"/>
  <c r="I37" i="9"/>
  <c r="J37" i="9"/>
  <c r="E37" i="9"/>
  <c r="R73" i="12" l="1"/>
  <c r="Q73" i="12"/>
  <c r="P73" i="12"/>
  <c r="O73" i="12"/>
  <c r="N73" i="12"/>
  <c r="M73" i="12"/>
  <c r="R72" i="12"/>
  <c r="Q72" i="12"/>
  <c r="P72" i="12"/>
  <c r="O72" i="12"/>
  <c r="N72" i="12"/>
  <c r="M72" i="12"/>
  <c r="R71" i="12"/>
  <c r="Q71" i="12"/>
  <c r="P71" i="12"/>
  <c r="O71" i="12"/>
  <c r="N71" i="12"/>
  <c r="M71" i="12"/>
  <c r="R70" i="12"/>
  <c r="Q70" i="12"/>
  <c r="P70" i="12"/>
  <c r="O70" i="12"/>
  <c r="N70" i="12"/>
  <c r="M70" i="12"/>
  <c r="R69" i="12"/>
  <c r="Q69" i="12"/>
  <c r="P69" i="12"/>
  <c r="O69" i="12"/>
  <c r="N69" i="12"/>
  <c r="M69" i="12"/>
  <c r="R68" i="12"/>
  <c r="Q68" i="12"/>
  <c r="P68" i="12"/>
  <c r="O68" i="12"/>
  <c r="N68" i="12"/>
  <c r="M68" i="12"/>
  <c r="R67" i="12"/>
  <c r="Q67" i="12"/>
  <c r="P67" i="12"/>
  <c r="O67" i="12"/>
  <c r="N67" i="12"/>
  <c r="M67" i="12"/>
  <c r="R66" i="12"/>
  <c r="Q66" i="12"/>
  <c r="P66" i="12"/>
  <c r="O66" i="12"/>
  <c r="N66" i="12"/>
  <c r="M66" i="12"/>
  <c r="R65" i="12"/>
  <c r="Q65" i="12"/>
  <c r="P65" i="12"/>
  <c r="O65" i="12"/>
  <c r="N65" i="12"/>
  <c r="M65" i="12"/>
  <c r="R64" i="12"/>
  <c r="Q64" i="12"/>
  <c r="P64" i="12"/>
  <c r="O64" i="12"/>
  <c r="N64" i="12"/>
  <c r="M64" i="12"/>
  <c r="R63" i="12"/>
  <c r="Q63" i="12"/>
  <c r="P63" i="12"/>
  <c r="P74" i="12" s="1"/>
  <c r="O63" i="12"/>
  <c r="N63" i="12"/>
  <c r="M63" i="12"/>
  <c r="M17" i="12"/>
  <c r="N17" i="12"/>
  <c r="O17" i="12"/>
  <c r="P17" i="12"/>
  <c r="Q17" i="12"/>
  <c r="R17" i="12"/>
  <c r="M18" i="12"/>
  <c r="N18" i="12"/>
  <c r="O18" i="12"/>
  <c r="P18" i="12"/>
  <c r="Q18" i="12"/>
  <c r="R18" i="12"/>
  <c r="M19" i="12"/>
  <c r="N19" i="12"/>
  <c r="O19" i="12"/>
  <c r="P19" i="12"/>
  <c r="Q19" i="12"/>
  <c r="R19" i="12"/>
  <c r="M20" i="12"/>
  <c r="N20" i="12"/>
  <c r="O20" i="12"/>
  <c r="P20" i="12"/>
  <c r="Q20" i="12"/>
  <c r="R20" i="12"/>
  <c r="M21" i="12"/>
  <c r="N21" i="12"/>
  <c r="O21" i="12"/>
  <c r="P21" i="12"/>
  <c r="Q21" i="12"/>
  <c r="R21" i="12"/>
  <c r="M22" i="12"/>
  <c r="N22" i="12"/>
  <c r="O22" i="12"/>
  <c r="P22" i="12"/>
  <c r="Q22" i="12"/>
  <c r="R22" i="12"/>
  <c r="M23" i="12"/>
  <c r="N23" i="12"/>
  <c r="O23" i="12"/>
  <c r="P23" i="12"/>
  <c r="Q23" i="12"/>
  <c r="R23" i="12"/>
  <c r="M24" i="12"/>
  <c r="N24" i="12"/>
  <c r="O24" i="12"/>
  <c r="P24" i="12"/>
  <c r="Q24" i="12"/>
  <c r="R24" i="12"/>
  <c r="M25" i="12"/>
  <c r="N25" i="12"/>
  <c r="O25" i="12"/>
  <c r="P25" i="12"/>
  <c r="Q25" i="12"/>
  <c r="R25" i="12"/>
  <c r="M26" i="12"/>
  <c r="N26" i="12"/>
  <c r="O26" i="12"/>
  <c r="P26" i="12"/>
  <c r="Q26" i="12"/>
  <c r="R26" i="12"/>
  <c r="M16" i="12"/>
  <c r="N16" i="12"/>
  <c r="O16" i="12"/>
  <c r="P16" i="12"/>
  <c r="Q16" i="12"/>
  <c r="R16" i="12"/>
  <c r="C18" i="16"/>
  <c r="C46" i="14"/>
  <c r="D43" i="14"/>
  <c r="D37" i="9" s="1"/>
  <c r="C45" i="14"/>
  <c r="C43" i="14"/>
  <c r="M74" i="12" l="1"/>
  <c r="Q74" i="12"/>
  <c r="N74" i="12"/>
  <c r="R74" i="12"/>
  <c r="O74" i="12"/>
  <c r="Q27" i="12"/>
  <c r="I27" i="12" s="1"/>
  <c r="I44" i="12" s="1"/>
  <c r="I79" i="12" s="1"/>
  <c r="I82" i="12" s="1"/>
  <c r="R27" i="12"/>
  <c r="J27" i="12" s="1"/>
  <c r="J44" i="12" s="1"/>
  <c r="J79" i="12" s="1"/>
  <c r="J82" i="12" s="1"/>
  <c r="N27" i="12"/>
  <c r="F27" i="12" s="1"/>
  <c r="F44" i="12" s="1"/>
  <c r="F79" i="12" s="1"/>
  <c r="F82" i="12" s="1"/>
  <c r="M27" i="12"/>
  <c r="E27" i="12" s="1"/>
  <c r="E44" i="12" s="1"/>
  <c r="E79" i="12" s="1"/>
  <c r="E82" i="12" s="1"/>
  <c r="P27" i="12"/>
  <c r="H27" i="12" s="1"/>
  <c r="H44" i="12" s="1"/>
  <c r="H79" i="12" s="1"/>
  <c r="H82" i="12" s="1"/>
  <c r="O27" i="12"/>
  <c r="G27" i="12" s="1"/>
  <c r="G44" i="12" s="1"/>
  <c r="G79" i="12" s="1"/>
  <c r="G82" i="12" s="1"/>
  <c r="E43" i="7"/>
  <c r="A31" i="5"/>
  <c r="A63" i="5"/>
  <c r="A30" i="5"/>
  <c r="F18" i="14" l="1"/>
  <c r="J37" i="14" l="1"/>
  <c r="I37" i="14"/>
  <c r="H37" i="14"/>
  <c r="G37" i="14"/>
  <c r="F37" i="14"/>
  <c r="E37" i="14"/>
  <c r="J36" i="14"/>
  <c r="I36" i="14"/>
  <c r="H36" i="14"/>
  <c r="G36" i="14"/>
  <c r="F36" i="14"/>
  <c r="E36" i="14"/>
  <c r="J35" i="14"/>
  <c r="I35" i="14"/>
  <c r="H35" i="14"/>
  <c r="G35" i="14"/>
  <c r="F35" i="14"/>
  <c r="E35" i="14"/>
  <c r="J34" i="14"/>
  <c r="I34" i="14"/>
  <c r="H34" i="14"/>
  <c r="G34" i="14"/>
  <c r="F34" i="14"/>
  <c r="E34" i="14"/>
  <c r="J33" i="14"/>
  <c r="I33" i="14"/>
  <c r="H33" i="14"/>
  <c r="G33" i="14"/>
  <c r="F33" i="14"/>
  <c r="E33" i="14"/>
  <c r="J32" i="14"/>
  <c r="I32" i="14"/>
  <c r="H32" i="14"/>
  <c r="G32" i="14"/>
  <c r="F32" i="14"/>
  <c r="E32" i="14"/>
  <c r="J31" i="14"/>
  <c r="I31" i="14"/>
  <c r="H31" i="14"/>
  <c r="G31" i="14"/>
  <c r="F31" i="14"/>
  <c r="E31" i="14"/>
  <c r="J30" i="14"/>
  <c r="I30" i="14"/>
  <c r="H30" i="14"/>
  <c r="G30" i="14"/>
  <c r="F30" i="14"/>
  <c r="E30" i="14"/>
  <c r="J29" i="14"/>
  <c r="I29" i="14"/>
  <c r="H29" i="14"/>
  <c r="G29" i="14"/>
  <c r="F29" i="14"/>
  <c r="E29" i="14"/>
  <c r="J28" i="14"/>
  <c r="I28" i="14"/>
  <c r="H28" i="14"/>
  <c r="G28" i="14"/>
  <c r="F28" i="14"/>
  <c r="E28" i="14"/>
  <c r="J27" i="14"/>
  <c r="I27" i="14"/>
  <c r="H27" i="14"/>
  <c r="G27" i="14"/>
  <c r="F27" i="14"/>
  <c r="E27" i="14"/>
  <c r="J26" i="14"/>
  <c r="I26" i="14"/>
  <c r="H26" i="14"/>
  <c r="G26" i="14"/>
  <c r="F26" i="14"/>
  <c r="E26" i="14"/>
  <c r="J25" i="14"/>
  <c r="I25" i="14"/>
  <c r="H25" i="14"/>
  <c r="G25" i="14"/>
  <c r="F25" i="14"/>
  <c r="E25" i="14"/>
  <c r="J24" i="14"/>
  <c r="I24" i="14"/>
  <c r="H24" i="14"/>
  <c r="G24" i="14"/>
  <c r="F24" i="14"/>
  <c r="E24" i="14"/>
  <c r="J23" i="14"/>
  <c r="I23" i="14"/>
  <c r="H23" i="14"/>
  <c r="G23" i="14"/>
  <c r="F23" i="14"/>
  <c r="E23" i="14"/>
  <c r="J22" i="14"/>
  <c r="I22" i="14"/>
  <c r="H22" i="14"/>
  <c r="G22" i="14"/>
  <c r="F22" i="14"/>
  <c r="E22" i="14"/>
  <c r="J21" i="14"/>
  <c r="I21" i="14"/>
  <c r="H21" i="14"/>
  <c r="G21" i="14"/>
  <c r="F21" i="14"/>
  <c r="E21" i="14"/>
  <c r="J20" i="14"/>
  <c r="I20" i="14"/>
  <c r="H20" i="14"/>
  <c r="G20" i="14"/>
  <c r="F20" i="14"/>
  <c r="E20" i="14"/>
  <c r="J19" i="14"/>
  <c r="I19" i="14"/>
  <c r="H19" i="14"/>
  <c r="G19" i="14"/>
  <c r="F19" i="14"/>
  <c r="E19" i="14"/>
  <c r="J18" i="14"/>
  <c r="I18" i="14"/>
  <c r="H18" i="14"/>
  <c r="G18" i="14"/>
  <c r="E18" i="14"/>
  <c r="J17" i="14"/>
  <c r="I17" i="14"/>
  <c r="H17" i="14"/>
  <c r="G17" i="14"/>
  <c r="F17" i="14"/>
  <c r="E17" i="14"/>
  <c r="D38" i="8" l="1"/>
  <c r="D54" i="9" l="1"/>
  <c r="C54" i="9"/>
  <c r="E46" i="9" l="1"/>
  <c r="F46" i="9"/>
  <c r="G46" i="9"/>
  <c r="H46" i="9"/>
  <c r="I46" i="9"/>
  <c r="D46" i="9"/>
  <c r="D42" i="14"/>
  <c r="D29" i="9" s="1"/>
  <c r="E74" i="12" l="1"/>
  <c r="E76" i="12" s="1"/>
  <c r="E80" i="12" s="1"/>
  <c r="I74" i="12"/>
  <c r="I76" i="12" s="1"/>
  <c r="I80" i="12" s="1"/>
  <c r="F74" i="12"/>
  <c r="F76" i="12" s="1"/>
  <c r="F80" i="12" s="1"/>
  <c r="J74" i="12"/>
  <c r="J76" i="12" s="1"/>
  <c r="J80" i="12" s="1"/>
  <c r="G74" i="12"/>
  <c r="G76" i="12" s="1"/>
  <c r="G80" i="12" s="1"/>
  <c r="H74" i="12"/>
  <c r="H76" i="12" s="1"/>
  <c r="H80" i="12" s="1"/>
  <c r="J61" i="16"/>
  <c r="J75" i="16"/>
  <c r="J117" i="16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17" i="11"/>
  <c r="D17" i="14"/>
  <c r="C36" i="9"/>
  <c r="C43" i="9" s="1"/>
  <c r="L21" i="16" s="1"/>
  <c r="C30" i="9"/>
  <c r="C37" i="9"/>
  <c r="C29" i="9"/>
  <c r="D32" i="9"/>
  <c r="C32" i="9"/>
  <c r="D31" i="9"/>
  <c r="C31" i="9"/>
  <c r="D44" i="14"/>
  <c r="D30" i="9" s="1"/>
  <c r="C44" i="14"/>
  <c r="C42" i="14"/>
  <c r="J103" i="16" l="1"/>
  <c r="E15" i="16"/>
  <c r="A5" i="16"/>
  <c r="C2" i="16"/>
  <c r="A2" i="16"/>
  <c r="E15" i="12"/>
  <c r="A5" i="12"/>
  <c r="E2" i="12"/>
  <c r="A2" i="12"/>
  <c r="I40" i="14"/>
  <c r="H40" i="14"/>
  <c r="A18" i="14"/>
  <c r="B18" i="14"/>
  <c r="D18" i="14"/>
  <c r="A19" i="14"/>
  <c r="B19" i="14"/>
  <c r="D19" i="14"/>
  <c r="A20" i="14"/>
  <c r="B20" i="14"/>
  <c r="D20" i="14"/>
  <c r="A21" i="14"/>
  <c r="B21" i="14"/>
  <c r="D21" i="14"/>
  <c r="A22" i="14"/>
  <c r="B22" i="14"/>
  <c r="D22" i="14"/>
  <c r="A23" i="14"/>
  <c r="B23" i="14"/>
  <c r="D23" i="14"/>
  <c r="A24" i="14"/>
  <c r="B24" i="14"/>
  <c r="D24" i="14"/>
  <c r="A25" i="14"/>
  <c r="B25" i="14"/>
  <c r="D25" i="14"/>
  <c r="A26" i="14"/>
  <c r="B26" i="14"/>
  <c r="D26" i="14"/>
  <c r="A27" i="14"/>
  <c r="B27" i="14"/>
  <c r="D27" i="14"/>
  <c r="A28" i="14"/>
  <c r="B28" i="14"/>
  <c r="D28" i="14"/>
  <c r="A29" i="14"/>
  <c r="B29" i="14"/>
  <c r="D29" i="14"/>
  <c r="A30" i="14"/>
  <c r="B30" i="14"/>
  <c r="D30" i="14"/>
  <c r="A31" i="14"/>
  <c r="B31" i="14"/>
  <c r="D31" i="14"/>
  <c r="A32" i="14"/>
  <c r="B32" i="14"/>
  <c r="D32" i="14"/>
  <c r="A33" i="14"/>
  <c r="B33" i="14"/>
  <c r="D33" i="14"/>
  <c r="A34" i="14"/>
  <c r="B34" i="14"/>
  <c r="D34" i="14"/>
  <c r="A35" i="14"/>
  <c r="B35" i="14"/>
  <c r="D35" i="14"/>
  <c r="A36" i="14"/>
  <c r="B36" i="14"/>
  <c r="D36" i="14"/>
  <c r="A37" i="14"/>
  <c r="B37" i="14"/>
  <c r="D37" i="14"/>
  <c r="B17" i="14"/>
  <c r="A17" i="14"/>
  <c r="A5" i="14"/>
  <c r="F2" i="14"/>
  <c r="A2" i="14"/>
  <c r="A2" i="5"/>
  <c r="C2" i="5"/>
  <c r="A4" i="5"/>
  <c r="J47" i="9"/>
  <c r="I47" i="9"/>
  <c r="H47" i="9"/>
  <c r="G47" i="9"/>
  <c r="F47" i="9"/>
  <c r="E47" i="9"/>
  <c r="E15" i="11"/>
  <c r="D15" i="11" s="1"/>
  <c r="A5" i="11"/>
  <c r="E2" i="11"/>
  <c r="A2" i="11"/>
  <c r="I24" i="9"/>
  <c r="J24" i="9"/>
  <c r="F24" i="9"/>
  <c r="G24" i="9"/>
  <c r="H24" i="9"/>
  <c r="E24" i="9"/>
  <c r="A5" i="10"/>
  <c r="C2" i="10"/>
  <c r="A2" i="10"/>
  <c r="D23" i="7"/>
  <c r="E23" i="7" s="1"/>
  <c r="F23" i="7" s="1"/>
  <c r="G23" i="7" s="1"/>
  <c r="H23" i="7" s="1"/>
  <c r="I23" i="7" s="1"/>
  <c r="J23" i="7" s="1"/>
  <c r="D22" i="7"/>
  <c r="D21" i="7"/>
  <c r="D20" i="7"/>
  <c r="D19" i="7"/>
  <c r="E19" i="7" s="1"/>
  <c r="F19" i="7" s="1"/>
  <c r="G19" i="7" s="1"/>
  <c r="H19" i="7" s="1"/>
  <c r="I19" i="7" s="1"/>
  <c r="J19" i="7" s="1"/>
  <c r="D18" i="7"/>
  <c r="C27" i="7"/>
  <c r="C26" i="7"/>
  <c r="C24" i="7"/>
  <c r="C23" i="7"/>
  <c r="C22" i="7"/>
  <c r="C21" i="7"/>
  <c r="C20" i="7"/>
  <c r="C19" i="7"/>
  <c r="C18" i="7"/>
  <c r="A62" i="5"/>
  <c r="C50" i="7"/>
  <c r="D50" i="7"/>
  <c r="E50" i="7" s="1"/>
  <c r="F50" i="7" s="1"/>
  <c r="G50" i="7" s="1"/>
  <c r="H50" i="7" s="1"/>
  <c r="I50" i="7" s="1"/>
  <c r="J50" i="7" s="1"/>
  <c r="C49" i="7"/>
  <c r="D49" i="7"/>
  <c r="C48" i="7"/>
  <c r="D48" i="7"/>
  <c r="E48" i="7" s="1"/>
  <c r="F48" i="7" s="1"/>
  <c r="G48" i="7" s="1"/>
  <c r="H48" i="7" s="1"/>
  <c r="I48" i="7" s="1"/>
  <c r="J48" i="7" s="1"/>
  <c r="C47" i="7"/>
  <c r="D47" i="7"/>
  <c r="E47" i="7" s="1"/>
  <c r="F47" i="7" s="1"/>
  <c r="G47" i="7" s="1"/>
  <c r="H47" i="7" s="1"/>
  <c r="I47" i="7" s="1"/>
  <c r="J47" i="7" s="1"/>
  <c r="C46" i="7"/>
  <c r="D46" i="7"/>
  <c r="E46" i="7" s="1"/>
  <c r="F46" i="7" s="1"/>
  <c r="G46" i="7" s="1"/>
  <c r="H46" i="7" s="1"/>
  <c r="I46" i="7" s="1"/>
  <c r="J46" i="7" s="1"/>
  <c r="C45" i="7"/>
  <c r="D45" i="7"/>
  <c r="D15" i="12" l="1"/>
  <c r="L15" i="12" s="1"/>
  <c r="D30" i="12"/>
  <c r="G15" i="12"/>
  <c r="O15" i="12" s="1"/>
  <c r="F15" i="12"/>
  <c r="N15" i="12" s="1"/>
  <c r="H15" i="12"/>
  <c r="P15" i="12" s="1"/>
  <c r="M15" i="12"/>
  <c r="A47" i="16"/>
  <c r="K49" i="16"/>
  <c r="B36" i="16"/>
  <c r="F15" i="16"/>
  <c r="E15" i="14"/>
  <c r="C40" i="11"/>
  <c r="I15" i="12"/>
  <c r="Q15" i="12" s="1"/>
  <c r="C39" i="11"/>
  <c r="I15" i="11"/>
  <c r="J15" i="11"/>
  <c r="J15" i="12"/>
  <c r="R15" i="12" s="1"/>
  <c r="G40" i="14"/>
  <c r="F40" i="14"/>
  <c r="J40" i="14"/>
  <c r="E40" i="14"/>
  <c r="E42" i="14" s="1"/>
  <c r="F15" i="11"/>
  <c r="G15" i="11" s="1"/>
  <c r="H15" i="11" s="1"/>
  <c r="A39" i="11" s="1"/>
  <c r="D44" i="7"/>
  <c r="C44" i="7"/>
  <c r="D43" i="7"/>
  <c r="C43" i="7"/>
  <c r="C55" i="9" s="1"/>
  <c r="C56" i="9" s="1"/>
  <c r="C42" i="7"/>
  <c r="D42" i="7"/>
  <c r="C10" i="8"/>
  <c r="A10" i="8"/>
  <c r="C11" i="8"/>
  <c r="C12" i="8"/>
  <c r="A11" i="12" s="1"/>
  <c r="A59" i="8"/>
  <c r="C17" i="8"/>
  <c r="J63" i="8"/>
  <c r="C47" i="9" s="1"/>
  <c r="A5" i="9"/>
  <c r="C2" i="9"/>
  <c r="A2" i="9"/>
  <c r="A5" i="7"/>
  <c r="C2" i="7"/>
  <c r="A2" i="7"/>
  <c r="F42" i="14" l="1"/>
  <c r="G42" i="14" s="1"/>
  <c r="H42" i="14" s="1"/>
  <c r="I42" i="14" s="1"/>
  <c r="J42" i="14" s="1"/>
  <c r="A61" i="16"/>
  <c r="K63" i="16"/>
  <c r="B50" i="16"/>
  <c r="C53" i="7"/>
  <c r="G15" i="16"/>
  <c r="D55" i="9"/>
  <c r="D56" i="9" s="1"/>
  <c r="F15" i="14"/>
  <c r="C39" i="14"/>
  <c r="C14" i="7"/>
  <c r="C14" i="16"/>
  <c r="D15" i="16"/>
  <c r="C15" i="16"/>
  <c r="K21" i="16" s="1"/>
  <c r="A40" i="11"/>
  <c r="D53" i="7"/>
  <c r="E42" i="7"/>
  <c r="E44" i="7"/>
  <c r="C38" i="7"/>
  <c r="C38" i="8"/>
  <c r="C59" i="8" s="1"/>
  <c r="C41" i="5"/>
  <c r="A75" i="16" l="1"/>
  <c r="B64" i="16"/>
  <c r="K77" i="16"/>
  <c r="A33" i="16"/>
  <c r="K35" i="16"/>
  <c r="B22" i="16"/>
  <c r="H15" i="16"/>
  <c r="C18" i="9"/>
  <c r="D18" i="9"/>
  <c r="F43" i="7"/>
  <c r="E55" i="9"/>
  <c r="D39" i="14"/>
  <c r="G15" i="14"/>
  <c r="E29" i="9"/>
  <c r="F29" i="9"/>
  <c r="F42" i="7"/>
  <c r="G42" i="7" s="1"/>
  <c r="H42" i="7" s="1"/>
  <c r="I42" i="7" s="1"/>
  <c r="E53" i="7"/>
  <c r="F44" i="7"/>
  <c r="C44" i="8"/>
  <c r="C41" i="8" s="1"/>
  <c r="J43" i="8"/>
  <c r="C51" i="9" s="1"/>
  <c r="A11" i="8"/>
  <c r="C19" i="8"/>
  <c r="E14" i="9"/>
  <c r="D15" i="7"/>
  <c r="E18" i="7"/>
  <c r="E20" i="7"/>
  <c r="E54" i="9" s="1"/>
  <c r="D24" i="7"/>
  <c r="D25" i="7"/>
  <c r="E25" i="7" s="1"/>
  <c r="F25" i="7" s="1"/>
  <c r="G25" i="7" s="1"/>
  <c r="H25" i="7" s="1"/>
  <c r="I25" i="7" s="1"/>
  <c r="J25" i="7" s="1"/>
  <c r="D27" i="7"/>
  <c r="H27" i="7" s="1"/>
  <c r="D26" i="7"/>
  <c r="C25" i="7"/>
  <c r="C30" i="7" s="1"/>
  <c r="C19" i="9" s="1"/>
  <c r="C14" i="9"/>
  <c r="C39" i="7"/>
  <c r="C15" i="7"/>
  <c r="C17" i="5"/>
  <c r="C12" i="5" s="1"/>
  <c r="C49" i="5"/>
  <c r="C44" i="5" s="1"/>
  <c r="A89" i="16" l="1"/>
  <c r="K91" i="16"/>
  <c r="B78" i="16"/>
  <c r="I15" i="16"/>
  <c r="C21" i="9"/>
  <c r="C27" i="9" s="1"/>
  <c r="C34" i="9" s="1"/>
  <c r="G43" i="7"/>
  <c r="F55" i="9"/>
  <c r="I39" i="14"/>
  <c r="E39" i="14"/>
  <c r="H15" i="14"/>
  <c r="F20" i="7"/>
  <c r="G29" i="9"/>
  <c r="E18" i="9"/>
  <c r="E24" i="7"/>
  <c r="F24" i="7" s="1"/>
  <c r="G24" i="7" s="1"/>
  <c r="H24" i="7" s="1"/>
  <c r="I24" i="7" s="1"/>
  <c r="J24" i="7" s="1"/>
  <c r="D30" i="7"/>
  <c r="F53" i="7"/>
  <c r="G44" i="7"/>
  <c r="F18" i="7"/>
  <c r="J42" i="7"/>
  <c r="B29" i="5"/>
  <c r="C29" i="5"/>
  <c r="G29" i="5"/>
  <c r="C48" i="9" s="1"/>
  <c r="C49" i="9" s="1"/>
  <c r="D9" i="5"/>
  <c r="F29" i="5" s="1"/>
  <c r="E15" i="7"/>
  <c r="F15" i="7" s="1"/>
  <c r="G15" i="7" s="1"/>
  <c r="H15" i="7" s="1"/>
  <c r="I15" i="7" s="1"/>
  <c r="J15" i="7" s="1"/>
  <c r="E19" i="8"/>
  <c r="F19" i="8" s="1"/>
  <c r="G19" i="8" s="1"/>
  <c r="H19" i="8" s="1"/>
  <c r="I19" i="8" s="1"/>
  <c r="J19" i="8" s="1"/>
  <c r="C9" i="5"/>
  <c r="E27" i="7"/>
  <c r="F27" i="7"/>
  <c r="G27" i="7"/>
  <c r="C15" i="10"/>
  <c r="D14" i="9"/>
  <c r="D19" i="8"/>
  <c r="E39" i="7"/>
  <c r="F39" i="7" s="1"/>
  <c r="G39" i="7" s="1"/>
  <c r="H39" i="7" s="1"/>
  <c r="I39" i="7" s="1"/>
  <c r="J39" i="7" s="1"/>
  <c r="D39" i="7"/>
  <c r="F14" i="9"/>
  <c r="G14" i="9" s="1"/>
  <c r="H14" i="9" s="1"/>
  <c r="I14" i="9" s="1"/>
  <c r="J14" i="9" s="1"/>
  <c r="A103" i="16" l="1"/>
  <c r="K105" i="16"/>
  <c r="B92" i="16"/>
  <c r="J15" i="16"/>
  <c r="A36" i="5"/>
  <c r="A37" i="5"/>
  <c r="D19" i="9"/>
  <c r="D21" i="9" s="1"/>
  <c r="H43" i="7"/>
  <c r="G55" i="9"/>
  <c r="J39" i="14"/>
  <c r="F39" i="14"/>
  <c r="I15" i="14"/>
  <c r="G20" i="7"/>
  <c r="F18" i="9"/>
  <c r="C13" i="9"/>
  <c r="G18" i="7"/>
  <c r="F30" i="7"/>
  <c r="G53" i="7"/>
  <c r="H44" i="7"/>
  <c r="E30" i="7"/>
  <c r="D15" i="10"/>
  <c r="E15" i="10" s="1"/>
  <c r="F15" i="10" s="1"/>
  <c r="G15" i="10" s="1"/>
  <c r="H15" i="10" s="1"/>
  <c r="I27" i="7"/>
  <c r="J27" i="7"/>
  <c r="A32" i="5"/>
  <c r="E4" i="8"/>
  <c r="F32" i="5"/>
  <c r="C4" i="8"/>
  <c r="D41" i="5"/>
  <c r="K119" i="16" l="1"/>
  <c r="B106" i="16"/>
  <c r="A117" i="16"/>
  <c r="A112" i="16"/>
  <c r="A108" i="16"/>
  <c r="A115" i="16"/>
  <c r="A111" i="16"/>
  <c r="A107" i="16"/>
  <c r="A114" i="16"/>
  <c r="A110" i="16"/>
  <c r="A106" i="16"/>
  <c r="A113" i="16"/>
  <c r="A109" i="16"/>
  <c r="A99" i="16"/>
  <c r="A95" i="16"/>
  <c r="A87" i="16"/>
  <c r="A83" i="16"/>
  <c r="A79" i="16"/>
  <c r="A71" i="16"/>
  <c r="A67" i="16"/>
  <c r="A56" i="16"/>
  <c r="A52" i="16"/>
  <c r="A36" i="16"/>
  <c r="A40" i="16"/>
  <c r="A44" i="16"/>
  <c r="A41" i="16"/>
  <c r="A101" i="16"/>
  <c r="A93" i="16"/>
  <c r="A85" i="16"/>
  <c r="A73" i="16"/>
  <c r="A65" i="16"/>
  <c r="A54" i="16"/>
  <c r="A38" i="16"/>
  <c r="A100" i="16"/>
  <c r="A96" i="16"/>
  <c r="A84" i="16"/>
  <c r="A72" i="16"/>
  <c r="A64" i="16"/>
  <c r="A63" i="16" s="1"/>
  <c r="A53" i="16"/>
  <c r="A43" i="16"/>
  <c r="A98" i="16"/>
  <c r="A94" i="16"/>
  <c r="A86" i="16"/>
  <c r="A82" i="16"/>
  <c r="A78" i="16"/>
  <c r="A70" i="16"/>
  <c r="A66" i="16"/>
  <c r="A59" i="16"/>
  <c r="A55" i="16"/>
  <c r="A51" i="16"/>
  <c r="A37" i="16"/>
  <c r="A45" i="16"/>
  <c r="A97" i="16"/>
  <c r="A81" i="16"/>
  <c r="A69" i="16"/>
  <c r="A58" i="16"/>
  <c r="D58" i="16" s="1"/>
  <c r="A50" i="16"/>
  <c r="A42" i="16"/>
  <c r="A92" i="16"/>
  <c r="A91" i="16" s="1"/>
  <c r="A80" i="16"/>
  <c r="A68" i="16"/>
  <c r="A57" i="16"/>
  <c r="A39" i="16"/>
  <c r="K45" i="16"/>
  <c r="I43" i="7"/>
  <c r="H55" i="9"/>
  <c r="C50" i="9"/>
  <c r="J15" i="14"/>
  <c r="H39" i="14" s="1"/>
  <c r="G39" i="14"/>
  <c r="I29" i="9"/>
  <c r="H29" i="9"/>
  <c r="H20" i="7"/>
  <c r="F19" i="9"/>
  <c r="F21" i="9" s="1"/>
  <c r="E19" i="9"/>
  <c r="E21" i="9" s="1"/>
  <c r="G18" i="9"/>
  <c r="A30" i="16"/>
  <c r="A28" i="16"/>
  <c r="A23" i="16"/>
  <c r="A27" i="16"/>
  <c r="A26" i="16"/>
  <c r="A24" i="16"/>
  <c r="A22" i="16"/>
  <c r="A31" i="16"/>
  <c r="A29" i="16"/>
  <c r="A25" i="16"/>
  <c r="E5" i="16"/>
  <c r="H5" i="14"/>
  <c r="G5" i="12"/>
  <c r="E5" i="12"/>
  <c r="C5" i="16"/>
  <c r="F5" i="14"/>
  <c r="E5" i="11"/>
  <c r="C4" i="5"/>
  <c r="C5" i="10"/>
  <c r="E5" i="9"/>
  <c r="E5" i="10"/>
  <c r="E4" i="5"/>
  <c r="G5" i="11"/>
  <c r="H18" i="7"/>
  <c r="G30" i="7"/>
  <c r="G19" i="9" s="1"/>
  <c r="H53" i="7"/>
  <c r="I44" i="7"/>
  <c r="E5" i="7"/>
  <c r="C5" i="9"/>
  <c r="C5" i="7"/>
  <c r="J45" i="16" l="1"/>
  <c r="J46" i="16" s="1"/>
  <c r="K58" i="16"/>
  <c r="D69" i="16"/>
  <c r="A105" i="16"/>
  <c r="D96" i="16"/>
  <c r="A21" i="16"/>
  <c r="D29" i="16"/>
  <c r="D26" i="16"/>
  <c r="D30" i="16"/>
  <c r="A49" i="16"/>
  <c r="A77" i="16"/>
  <c r="A35" i="16"/>
  <c r="D39" i="16"/>
  <c r="D66" i="16"/>
  <c r="D86" i="16"/>
  <c r="D53" i="16"/>
  <c r="D57" i="16"/>
  <c r="D42" i="16"/>
  <c r="D81" i="16"/>
  <c r="D51" i="16"/>
  <c r="D37" i="16"/>
  <c r="D52" i="16"/>
  <c r="D82" i="16"/>
  <c r="D84" i="16"/>
  <c r="D71" i="16"/>
  <c r="D111" i="16"/>
  <c r="D92" i="16"/>
  <c r="D70" i="16"/>
  <c r="D94" i="16"/>
  <c r="D64" i="16"/>
  <c r="D100" i="16"/>
  <c r="D73" i="16"/>
  <c r="A74" i="16"/>
  <c r="D41" i="16"/>
  <c r="D79" i="16"/>
  <c r="D99" i="16"/>
  <c r="D110" i="16"/>
  <c r="D115" i="16"/>
  <c r="A116" i="16"/>
  <c r="D68" i="16"/>
  <c r="D50" i="16"/>
  <c r="D97" i="16"/>
  <c r="D55" i="16"/>
  <c r="D78" i="16"/>
  <c r="D98" i="16"/>
  <c r="D72" i="16"/>
  <c r="D38" i="16"/>
  <c r="D85" i="16"/>
  <c r="D44" i="16"/>
  <c r="D56" i="16"/>
  <c r="D83" i="16"/>
  <c r="D109" i="16"/>
  <c r="D114" i="16"/>
  <c r="D108" i="16"/>
  <c r="D65" i="16"/>
  <c r="A102" i="16"/>
  <c r="D101" i="16"/>
  <c r="D36" i="16"/>
  <c r="D95" i="16"/>
  <c r="D106" i="16"/>
  <c r="D80" i="16"/>
  <c r="A46" i="16"/>
  <c r="D45" i="16"/>
  <c r="D59" i="16"/>
  <c r="A60" i="16"/>
  <c r="D43" i="16"/>
  <c r="D54" i="16"/>
  <c r="D93" i="16"/>
  <c r="D40" i="16"/>
  <c r="D67" i="16"/>
  <c r="A88" i="16"/>
  <c r="D87" i="16"/>
  <c r="D113" i="16"/>
  <c r="D107" i="16"/>
  <c r="D112" i="16"/>
  <c r="E44" i="14"/>
  <c r="E30" i="9" s="1"/>
  <c r="A32" i="16"/>
  <c r="D31" i="16"/>
  <c r="D27" i="16"/>
  <c r="D22" i="16"/>
  <c r="D23" i="16"/>
  <c r="D25" i="16"/>
  <c r="D24" i="16"/>
  <c r="D28" i="16"/>
  <c r="J29" i="9"/>
  <c r="J43" i="7"/>
  <c r="J55" i="9" s="1"/>
  <c r="I55" i="9"/>
  <c r="I20" i="7"/>
  <c r="G21" i="9"/>
  <c r="H18" i="9"/>
  <c r="I53" i="7"/>
  <c r="J44" i="7"/>
  <c r="I18" i="7"/>
  <c r="H30" i="7"/>
  <c r="J58" i="16" l="1"/>
  <c r="K71" i="16"/>
  <c r="E48" i="9"/>
  <c r="E49" i="9" s="1"/>
  <c r="E18" i="16"/>
  <c r="J20" i="7"/>
  <c r="H19" i="9"/>
  <c r="H21" i="9" s="1"/>
  <c r="I18" i="9"/>
  <c r="J18" i="7"/>
  <c r="I30" i="7"/>
  <c r="J53" i="7"/>
  <c r="J71" i="16" l="1"/>
  <c r="K84" i="16"/>
  <c r="J30" i="7"/>
  <c r="J19" i="9" s="1"/>
  <c r="J60" i="16"/>
  <c r="F44" i="14" s="1"/>
  <c r="J18" i="9"/>
  <c r="I19" i="9"/>
  <c r="I21" i="9" s="1"/>
  <c r="J84" i="16" l="1"/>
  <c r="K97" i="16"/>
  <c r="F18" i="16"/>
  <c r="F30" i="9"/>
  <c r="J21" i="9"/>
  <c r="J97" i="16" l="1"/>
  <c r="K110" i="16"/>
  <c r="J110" i="16" s="1"/>
  <c r="F48" i="9"/>
  <c r="F49" i="9" s="1"/>
  <c r="J50" i="8"/>
  <c r="J41" i="8" s="1"/>
  <c r="A55" i="8" l="1"/>
  <c r="B61" i="5"/>
  <c r="F61" i="5"/>
  <c r="G61" i="5"/>
  <c r="C61" i="5"/>
  <c r="J74" i="16" l="1"/>
  <c r="G44" i="14" s="1"/>
  <c r="G18" i="16" l="1"/>
  <c r="G30" i="9"/>
  <c r="G48" i="9" l="1"/>
  <c r="G49" i="9" s="1"/>
  <c r="J88" i="16"/>
  <c r="H44" i="14" s="1"/>
  <c r="H30" i="9" l="1"/>
  <c r="H48" i="9" s="1"/>
  <c r="H49" i="9" s="1"/>
  <c r="H18" i="16"/>
  <c r="C113" i="16" l="1"/>
  <c r="J113" i="16" s="1"/>
  <c r="J102" i="16"/>
  <c r="I44" i="14" l="1"/>
  <c r="I18" i="16" l="1"/>
  <c r="I30" i="9"/>
  <c r="I48" i="9" l="1"/>
  <c r="I49" i="9" s="1"/>
  <c r="J116" i="16"/>
  <c r="J44" i="14" s="1"/>
  <c r="J30" i="9" l="1"/>
  <c r="J48" i="9" s="1"/>
  <c r="J49" i="9" s="1"/>
  <c r="J18" i="16"/>
  <c r="J56" i="9" l="1"/>
  <c r="J27" i="9"/>
  <c r="G56" i="9"/>
  <c r="F27" i="9"/>
  <c r="I56" i="9"/>
  <c r="H27" i="9"/>
  <c r="F56" i="9"/>
  <c r="G27" i="9"/>
  <c r="H56" i="9"/>
  <c r="I27" i="9"/>
  <c r="F34" i="9" l="1"/>
  <c r="J34" i="9"/>
  <c r="I34" i="9"/>
  <c r="H34" i="9"/>
  <c r="G34" i="9"/>
  <c r="E27" i="9" l="1"/>
  <c r="E34" i="9" l="1"/>
  <c r="E56" i="9"/>
  <c r="D27" i="9"/>
  <c r="D34" i="9" l="1"/>
  <c r="D18" i="16"/>
  <c r="J33" i="16" l="1"/>
  <c r="D43" i="9"/>
  <c r="D48" i="9"/>
  <c r="D49" i="9" s="1"/>
  <c r="D51" i="9" s="1"/>
  <c r="E51" i="9" s="1"/>
  <c r="F51" i="9" s="1"/>
  <c r="G51" i="9" s="1"/>
  <c r="H51" i="9" s="1"/>
  <c r="I51" i="9" s="1"/>
  <c r="J51" i="9" s="1"/>
  <c r="L35" i="16" l="1"/>
  <c r="E43" i="9"/>
  <c r="D50" i="9"/>
  <c r="E50" i="9" s="1"/>
  <c r="F50" i="9" s="1"/>
  <c r="G50" i="9" s="1"/>
  <c r="H50" i="9" s="1"/>
  <c r="I50" i="9" s="1"/>
  <c r="J50" i="9" s="1"/>
  <c r="F43" i="9" l="1"/>
  <c r="G43" i="9" s="1"/>
  <c r="L49" i="16"/>
  <c r="L77" i="16" l="1"/>
  <c r="L63" i="16"/>
  <c r="H43" i="9"/>
  <c r="L91" i="16" s="1"/>
  <c r="I43" i="9" l="1"/>
  <c r="J43" i="9" s="1"/>
  <c r="L119" i="16" s="1"/>
  <c r="L105" i="16" l="1"/>
</calcChain>
</file>

<file path=xl/sharedStrings.xml><?xml version="1.0" encoding="utf-8"?>
<sst xmlns="http://schemas.openxmlformats.org/spreadsheetml/2006/main" count="284" uniqueCount="174">
  <si>
    <t>Budget</t>
  </si>
  <si>
    <t>Aufwand</t>
  </si>
  <si>
    <t>Ertrag</t>
  </si>
  <si>
    <t>Personalaufwand</t>
  </si>
  <si>
    <t>Sachaufwand</t>
  </si>
  <si>
    <t>Passivzinsen</t>
  </si>
  <si>
    <t>Abschreibungen</t>
  </si>
  <si>
    <t>Finanzvermögen</t>
  </si>
  <si>
    <t>Bilanzfehlbetrag</t>
  </si>
  <si>
    <t>Eigene Beiträge</t>
  </si>
  <si>
    <t>Einlagen</t>
  </si>
  <si>
    <t>Vermögenserträge</t>
  </si>
  <si>
    <t>Entgelte</t>
  </si>
  <si>
    <t>Beiträge für eigene Rechnung</t>
  </si>
  <si>
    <t>Entnahmen</t>
  </si>
  <si>
    <t>Laufende Rechnung</t>
  </si>
  <si>
    <t>ordentliche Abschreibungen</t>
  </si>
  <si>
    <t>zusätzliche Abschreibungen</t>
  </si>
  <si>
    <t>Anteile o. Zweckbindung</t>
  </si>
  <si>
    <t>Durchlaufende Beträge</t>
  </si>
  <si>
    <t>Interne Verrechnungen</t>
  </si>
  <si>
    <t>Regalien / Konzessionen</t>
  </si>
  <si>
    <t>Entschädigungen o. Zweckb.</t>
  </si>
  <si>
    <t>Entschädigungen von Gemeinwesen</t>
  </si>
  <si>
    <t>Entschädigungen an Gemeinwesen</t>
  </si>
  <si>
    <t xml:space="preserve">Laufende Rechnung </t>
  </si>
  <si>
    <t>Finanzplanjahre</t>
  </si>
  <si>
    <t>Total Laufender Aufwand</t>
  </si>
  <si>
    <t>Total Laufender Ertrag</t>
  </si>
  <si>
    <t>Kto</t>
  </si>
  <si>
    <t>Ertragsposition</t>
  </si>
  <si>
    <t>Einflussfaktoren / Plangrössen</t>
  </si>
  <si>
    <t>Personalaufwand Betrieb / Verwaltung</t>
  </si>
  <si>
    <t>Beiträge für / von eigener Rechnung (Kto 36/46)</t>
  </si>
  <si>
    <t>Zinssätze Neukredite</t>
  </si>
  <si>
    <t>Ausgangsdaten</t>
  </si>
  <si>
    <t>1. Finanzplanjahr</t>
  </si>
  <si>
    <t>Änderungen im Rahmen der Aufgaben sowie Aufwände und Erträge</t>
  </si>
  <si>
    <t xml:space="preserve">Total Änderungen </t>
  </si>
  <si>
    <t>Investitionsrechnung</t>
  </si>
  <si>
    <t>Aktiven</t>
  </si>
  <si>
    <t>Verwaltungsvermögen</t>
  </si>
  <si>
    <t>Fremdkapital</t>
  </si>
  <si>
    <t>Sachgüter</t>
  </si>
  <si>
    <t>Darlehen und Beteiligungen</t>
  </si>
  <si>
    <t>Mobilien</t>
  </si>
  <si>
    <t>übrige aktivierte Ausgaben</t>
  </si>
  <si>
    <t>Vorschüsse</t>
  </si>
  <si>
    <t>Passiven</t>
  </si>
  <si>
    <t>Laufende Verpflichtungen</t>
  </si>
  <si>
    <t>Kurzfristige Schulden</t>
  </si>
  <si>
    <t>Langfristige Schulden</t>
  </si>
  <si>
    <t>Zinslose Darlehen</t>
  </si>
  <si>
    <t>Transistorische Passiven</t>
  </si>
  <si>
    <t>Spezialfinanzierungen</t>
  </si>
  <si>
    <t>Verpflichtungen</t>
  </si>
  <si>
    <t>Spezialfonds</t>
  </si>
  <si>
    <t>Vorfinanzierungen</t>
  </si>
  <si>
    <t>Kapital</t>
  </si>
  <si>
    <t>Zusammenfassung Laufende Rechnung</t>
  </si>
  <si>
    <t>Nettoinvestition</t>
  </si>
  <si>
    <t>Finanzplan</t>
  </si>
  <si>
    <t>bis</t>
  </si>
  <si>
    <t xml:space="preserve">Korporation </t>
  </si>
  <si>
    <t>*</t>
  </si>
  <si>
    <t>* Der Finanzplan ist grundsätzlich auf den aktuellsten Werten aufzubauen. 
Liegt das letzte Rechnungsergebnis noch nicht vor, können alternativ die Werte des Vorjahresbugets übernommen werden</t>
  </si>
  <si>
    <t>fakultativ</t>
  </si>
  <si>
    <t>Budget - Budget?</t>
  </si>
  <si>
    <t>aktuelles Budget</t>
  </si>
  <si>
    <t>Bestandesrechnung Ende des Rechnungjahres:</t>
  </si>
  <si>
    <t>Rückstellungen</t>
  </si>
  <si>
    <t>Ausgaben</t>
  </si>
  <si>
    <t>Einnahmen</t>
  </si>
  <si>
    <t>zusätzliche Abschreibungen Bilanzfehlbetrag</t>
  </si>
  <si>
    <t>zusätzliche Abschreibungen Verwaltungsvermögen</t>
  </si>
  <si>
    <t>Bildung von Eigenkapital</t>
  </si>
  <si>
    <t>Erhöhung Bilanzfehlbetrag</t>
  </si>
  <si>
    <t>faklutativ</t>
  </si>
  <si>
    <t>Teuerung Sachaufwand / Entgelte</t>
  </si>
  <si>
    <t>Anteile und Beiträge o. Zweckbindung</t>
  </si>
  <si>
    <t>Abschreibungen Finanzvermögen</t>
  </si>
  <si>
    <t>Nutzungs-
dauer</t>
  </si>
  <si>
    <t>Investitionen ins Verwaltungsvermögen</t>
  </si>
  <si>
    <t>Bruttoüberschuss I</t>
  </si>
  <si>
    <t>Bruttoüberschuss II</t>
  </si>
  <si>
    <t>in 1000 Franken</t>
  </si>
  <si>
    <t>Mindestabschreibungen Verwaltungsvermögen</t>
  </si>
  <si>
    <t>Ordentliche Abschreibungen Bilanzfehlbetrag</t>
  </si>
  <si>
    <t>Zusätzliche Abschreibungen Bilanzfehlbetrag</t>
  </si>
  <si>
    <t>lineare Abschreibungen auf dem Verwaltungsvermögen</t>
  </si>
  <si>
    <t>Veränderung der Nettoverschuldung kummuliert</t>
  </si>
  <si>
    <t>Nettoverschuldung Ende Jahr</t>
  </si>
  <si>
    <t>Zinsaufwand</t>
  </si>
  <si>
    <t>Nettozinsaufwand</t>
  </si>
  <si>
    <t>Nettoinvestitionen ins Verwaltungsvermögen</t>
  </si>
  <si>
    <t>Selbstfinanzierung (inkl. a.o. Abschreibungen)</t>
  </si>
  <si>
    <r>
      <t>Einlagen</t>
    </r>
    <r>
      <rPr>
        <sz val="8"/>
        <rFont val="Arial"/>
        <family val="2"/>
      </rPr>
      <t xml:space="preserve"> (ohne 389 Ertragsüberschuss)</t>
    </r>
  </si>
  <si>
    <r>
      <t>Entnahmen</t>
    </r>
    <r>
      <rPr>
        <sz val="8"/>
        <rFont val="Arial"/>
        <family val="2"/>
      </rPr>
      <t xml:space="preserve"> (ohne 489 Aufwandüberschuss)</t>
    </r>
  </si>
  <si>
    <t>Jahre</t>
  </si>
  <si>
    <t xml:space="preserve">Jahre </t>
  </si>
  <si>
    <t>Abschreibungsaufwand Bilanzfehlbetrag</t>
  </si>
  <si>
    <t>neue Abschreibung pro Jahr</t>
  </si>
  <si>
    <t>Zins-
satz*</t>
  </si>
  <si>
    <t>Weiterführung der bisherigen Aufgaben</t>
  </si>
  <si>
    <t>Laufender Ertrag</t>
  </si>
  <si>
    <t>Laufender Aufwand</t>
  </si>
  <si>
    <t>Veränderung der Laufenden Rechnung</t>
  </si>
  <si>
    <t>Aufwand- und Ertagsänderungen</t>
  </si>
  <si>
    <t>Veränderungen der Zinsbelastung</t>
  </si>
  <si>
    <t xml:space="preserve">Zusätzliche Abschreibungen Verwaltungsvermögen </t>
  </si>
  <si>
    <t>Total neue Abschreibungen im entsprechenden Jahr</t>
  </si>
  <si>
    <t>Auslaufende Abschreibungen im entsprechenden Jahr</t>
  </si>
  <si>
    <t>Ordentliche Abschreibungen auf Verwaltungsvermögen</t>
  </si>
  <si>
    <t>Veränderung des Zinsaufwandes im Folgejahr
als Folge der Umschuldung</t>
  </si>
  <si>
    <r>
      <t xml:space="preserve">Auflösung von Anlagen im Finanzvermögen
</t>
    </r>
    <r>
      <rPr>
        <sz val="8"/>
        <rFont val="Arial"/>
        <family val="2"/>
      </rPr>
      <t xml:space="preserve">zum Buchwert (Buchgewinne vgl. Formular "Änderungen LR") </t>
    </r>
  </si>
  <si>
    <r>
      <t xml:space="preserve">Neuanlagen im Finanzvermögen
</t>
    </r>
    <r>
      <rPr>
        <sz val="8"/>
        <rFont val="Arial"/>
        <family val="2"/>
      </rPr>
      <t xml:space="preserve">zum Buchwert (Buchgewinne vgl. Formular "Änderungen LR") </t>
    </r>
  </si>
  <si>
    <t>Veränderung des Zinsaufwandes im Folgejahr
als Folge der Auflösung von Finanzvermögen</t>
  </si>
  <si>
    <t>Veränderung des Zinsaufwandes im Folgejahr
als Folge von Neuanlagen im Finanzvermögen</t>
  </si>
  <si>
    <t xml:space="preserve">Hilfstabellen </t>
  </si>
  <si>
    <t>* in dieser Spalte ist der Zinssatz in % anzugeben, zu dem der auslaufende Kredit bzw. die Anlage im Finanzvermögen aktuell verzinst wird.</t>
  </si>
  <si>
    <t>Nettionvestitionen ins Finanzvermögen</t>
  </si>
  <si>
    <t>davon Buchgewinne aus Veräusserung FV</t>
  </si>
  <si>
    <t>Diverses</t>
  </si>
  <si>
    <t>Holzlader</t>
  </si>
  <si>
    <t>Strassenzufahrt</t>
  </si>
  <si>
    <t>Neue IT</t>
  </si>
  <si>
    <t>Entschädigung an / von Gemeinwesen (Kto 35/45)</t>
  </si>
  <si>
    <t>Zusätzliche Abschreibungen auf Verwaltungsvermögen</t>
  </si>
  <si>
    <t>Ordentliche Abschreibungen auf dem Bilanzfehlbetrag</t>
  </si>
  <si>
    <t>LKB</t>
  </si>
  <si>
    <t>Verkauf Liegenschaft xy</t>
  </si>
  <si>
    <t xml:space="preserve">Auslauf Bundesobligationen </t>
  </si>
  <si>
    <t>Kauf Bundesobligationen</t>
  </si>
  <si>
    <t>LUKB Expert</t>
  </si>
  <si>
    <t>Darlehen Baugenossenschaft</t>
  </si>
  <si>
    <t>Zusätzliche Abschreibungen BF beim Abschluss</t>
  </si>
  <si>
    <t>Zusätzliche Abschreibungen VV beim Abschluss</t>
  </si>
  <si>
    <t>Vermietung Forsthaus</t>
  </si>
  <si>
    <t>Forsthaus</t>
  </si>
  <si>
    <t>Konto xxxx.xx.xxxx.xx</t>
  </si>
  <si>
    <t>Postfinance Konto xx.xxxxx.x</t>
  </si>
  <si>
    <t>Raiffeisen Konto xxxx.xx.xxxx.xx</t>
  </si>
  <si>
    <t>Total Abschreibungen Bilanzfehlbetrag</t>
  </si>
  <si>
    <t>Reduktion Eigenkapital</t>
  </si>
  <si>
    <t>Veränderungen der Kreditpositionen</t>
  </si>
  <si>
    <t>Zins-</t>
  </si>
  <si>
    <t>satz*</t>
  </si>
  <si>
    <r>
      <rPr>
        <b/>
        <sz val="8"/>
        <rFont val="Arial"/>
        <family val="2"/>
      </rPr>
      <t>Rückzahlung</t>
    </r>
    <r>
      <rPr>
        <sz val="8"/>
        <rFont val="Arial"/>
        <family val="2"/>
      </rPr>
      <t xml:space="preserve"> von Darlehen und Krediten</t>
    </r>
  </si>
  <si>
    <r>
      <rPr>
        <b/>
        <sz val="8"/>
        <rFont val="Arial"/>
        <family val="2"/>
      </rPr>
      <t>Aufnahme</t>
    </r>
    <r>
      <rPr>
        <sz val="8"/>
        <rFont val="Arial"/>
        <family val="2"/>
      </rPr>
      <t xml:space="preserve"> von neuen Darlehen und Krediten</t>
    </r>
  </si>
  <si>
    <t>Veränderung des Zinsaufwandes im Folgejahr
als Folge der Rückzahlung</t>
  </si>
  <si>
    <t>Zinssätze</t>
  </si>
  <si>
    <t xml:space="preserve">gemäss  </t>
  </si>
  <si>
    <t>Ausgangs-</t>
  </si>
  <si>
    <t>daten</t>
  </si>
  <si>
    <t>UBS</t>
  </si>
  <si>
    <t>SKA Konto xx.xxxxx.x</t>
  </si>
  <si>
    <t>Privatbank Konto xxxx.xx.xxxx.xx</t>
  </si>
  <si>
    <t>Total Zinsveränderungen im Folgejahr aus Umschuldung</t>
  </si>
  <si>
    <t>Total Zinsveränderung im Folgejahr aus Anlagen</t>
  </si>
  <si>
    <t>Total Zinsveränderung im Folgejahr</t>
  </si>
  <si>
    <t>Kreditrückzahlung (-) / Kreditaufnahme (+)</t>
  </si>
  <si>
    <t>Finanzvermögensabnahme (-) / Zunahme (+)</t>
  </si>
  <si>
    <r>
      <t>Ergebnis Laufende Rechnung</t>
    </r>
    <r>
      <rPr>
        <sz val="8"/>
        <rFont val="Arial"/>
        <family val="2"/>
      </rPr>
      <t xml:space="preserve"> (nach ord. Abschreib.)</t>
    </r>
  </si>
  <si>
    <t>Auflösung von Eigenkapital</t>
  </si>
  <si>
    <t xml:space="preserve">Einlagen (Kontogruppe 38 ohne Ertragsüberschuss) </t>
  </si>
  <si>
    <t>Entnahmen (Kontogruppe 48 ohne Aufwandüberschuss)</t>
  </si>
  <si>
    <t>Entlastung Zinsaufwand (-) / Mehrbelastung Zinsaufwand (+)</t>
  </si>
  <si>
    <t>Maschinen</t>
  </si>
  <si>
    <t>Muster</t>
  </si>
  <si>
    <r>
      <t xml:space="preserve">Eigenkapital (+) Bilanzfehlbetrag (-) 
</t>
    </r>
    <r>
      <rPr>
        <sz val="8"/>
        <rFont val="Arial"/>
        <family val="2"/>
      </rPr>
      <t>Ende Jahr (nach Abschuss)</t>
    </r>
  </si>
  <si>
    <t>nein</t>
  </si>
  <si>
    <t>(+ = Mehraufwand / Mindereinnahmen)</t>
  </si>
  <si>
    <t>(- = Minderaufwand / Mehrertrag)</t>
  </si>
  <si>
    <t>Finanzierungsfehlbetrag (+) / -überschuss (-) 
der Verwaltungsrechnung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</si>
</sst>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0_ ;\-0\ "/>
    <numFmt numFmtId="165" formatCode="_ * #,##0_ ;_ * \-#,##0_ ;_ * &quot;-&quot;??_ ;_ @_ "/>
  </numFmts>
  <fonts count="16" x14ac:knownFonts="1">
    <font>
      <sz val="11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48"/>
      <color theme="0" tint="-0.34998626667073579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418">
    <xf numFmtId="0" fontId="0" fillId="0" borderId="0" xfId="0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Protection="1"/>
    <xf numFmtId="41" fontId="1" fillId="0" borderId="2" xfId="0" applyNumberFormat="1" applyFont="1" applyBorder="1" applyProtection="1"/>
    <xf numFmtId="41" fontId="1" fillId="0" borderId="12" xfId="0" applyNumberFormat="1" applyFont="1" applyBorder="1" applyProtection="1"/>
    <xf numFmtId="0" fontId="1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41" fontId="1" fillId="0" borderId="0" xfId="0" applyNumberFormat="1" applyFont="1" applyProtection="1"/>
    <xf numFmtId="0" fontId="3" fillId="0" borderId="4" xfId="0" applyFont="1" applyBorder="1" applyAlignment="1" applyProtection="1">
      <alignment horizontal="left"/>
    </xf>
    <xf numFmtId="0" fontId="1" fillId="0" borderId="0" xfId="0" applyFont="1" applyBorder="1" applyProtection="1"/>
    <xf numFmtId="41" fontId="1" fillId="0" borderId="0" xfId="0" applyNumberFormat="1" applyFont="1" applyBorder="1" applyProtection="1"/>
    <xf numFmtId="41" fontId="4" fillId="0" borderId="0" xfId="0" applyNumberFormat="1" applyFont="1" applyBorder="1" applyProtection="1"/>
    <xf numFmtId="41" fontId="1" fillId="0" borderId="3" xfId="0" applyNumberFormat="1" applyFont="1" applyBorder="1" applyProtection="1"/>
    <xf numFmtId="164" fontId="3" fillId="0" borderId="0" xfId="0" applyNumberFormat="1" applyFont="1" applyFill="1" applyBorder="1" applyProtection="1"/>
    <xf numFmtId="0" fontId="1" fillId="0" borderId="9" xfId="0" applyFont="1" applyBorder="1" applyAlignment="1" applyProtection="1">
      <alignment horizontal="left"/>
    </xf>
    <xf numFmtId="0" fontId="1" fillId="0" borderId="10" xfId="0" applyFont="1" applyBorder="1" applyProtection="1"/>
    <xf numFmtId="41" fontId="1" fillId="0" borderId="10" xfId="0" applyNumberFormat="1" applyFont="1" applyBorder="1" applyProtection="1"/>
    <xf numFmtId="41" fontId="1" fillId="0" borderId="11" xfId="0" applyNumberFormat="1" applyFont="1" applyBorder="1" applyProtection="1"/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41" fontId="1" fillId="3" borderId="12" xfId="0" applyNumberFormat="1" applyFont="1" applyFill="1" applyBorder="1" applyProtection="1"/>
    <xf numFmtId="41" fontId="1" fillId="3" borderId="2" xfId="0" applyNumberFormat="1" applyFont="1" applyFill="1" applyBorder="1" applyProtection="1"/>
    <xf numFmtId="41" fontId="1" fillId="3" borderId="1" xfId="0" applyNumberFormat="1" applyFont="1" applyFill="1" applyBorder="1" applyProtection="1"/>
    <xf numFmtId="41" fontId="3" fillId="3" borderId="3" xfId="0" applyNumberFormat="1" applyFont="1" applyFill="1" applyBorder="1" applyProtection="1"/>
    <xf numFmtId="0" fontId="3" fillId="0" borderId="0" xfId="0" applyFont="1" applyProtection="1"/>
    <xf numFmtId="0" fontId="1" fillId="3" borderId="4" xfId="0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164" fontId="1" fillId="3" borderId="4" xfId="0" applyNumberFormat="1" applyFont="1" applyFill="1" applyBorder="1" applyProtection="1"/>
    <xf numFmtId="164" fontId="1" fillId="3" borderId="3" xfId="0" applyNumberFormat="1" applyFont="1" applyFill="1" applyBorder="1" applyProtection="1"/>
    <xf numFmtId="164" fontId="1" fillId="3" borderId="0" xfId="0" applyNumberFormat="1" applyFont="1" applyFill="1" applyBorder="1" applyProtection="1"/>
    <xf numFmtId="0" fontId="1" fillId="3" borderId="9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41" fontId="1" fillId="3" borderId="9" xfId="0" applyNumberFormat="1" applyFont="1" applyFill="1" applyBorder="1" applyProtection="1"/>
    <xf numFmtId="41" fontId="1" fillId="3" borderId="11" xfId="0" applyNumberFormat="1" applyFont="1" applyFill="1" applyBorder="1" applyProtection="1"/>
    <xf numFmtId="41" fontId="1" fillId="3" borderId="10" xfId="0" applyNumberFormat="1" applyFont="1" applyFill="1" applyBorder="1" applyProtection="1"/>
    <xf numFmtId="0" fontId="1" fillId="0" borderId="4" xfId="0" applyFont="1" applyBorder="1" applyAlignment="1" applyProtection="1">
      <alignment horizontal="left"/>
    </xf>
    <xf numFmtId="41" fontId="1" fillId="0" borderId="4" xfId="0" applyNumberFormat="1" applyFont="1" applyBorder="1" applyProtection="1"/>
    <xf numFmtId="41" fontId="1" fillId="4" borderId="4" xfId="0" applyNumberFormat="1" applyFont="1" applyFill="1" applyBorder="1" applyProtection="1"/>
    <xf numFmtId="41" fontId="1" fillId="4" borderId="3" xfId="0" applyNumberFormat="1" applyFont="1" applyFill="1" applyBorder="1" applyProtection="1"/>
    <xf numFmtId="0" fontId="4" fillId="0" borderId="4" xfId="0" applyFont="1" applyBorder="1" applyAlignment="1" applyProtection="1">
      <alignment horizontal="left"/>
    </xf>
    <xf numFmtId="41" fontId="1" fillId="0" borderId="9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41" fontId="3" fillId="3" borderId="2" xfId="0" applyNumberFormat="1" applyFont="1" applyFill="1" applyBorder="1" applyProtection="1"/>
    <xf numFmtId="41" fontId="3" fillId="3" borderId="12" xfId="0" applyNumberFormat="1" applyFont="1" applyFill="1" applyBorder="1" applyProtection="1"/>
    <xf numFmtId="164" fontId="3" fillId="3" borderId="4" xfId="0" applyNumberFormat="1" applyFont="1" applyFill="1" applyBorder="1" applyProtection="1"/>
    <xf numFmtId="0" fontId="3" fillId="3" borderId="0" xfId="0" applyFont="1" applyFill="1" applyBorder="1" applyProtection="1"/>
    <xf numFmtId="164" fontId="3" fillId="3" borderId="0" xfId="0" applyNumberFormat="1" applyFont="1" applyFill="1" applyBorder="1" applyAlignment="1" applyProtection="1">
      <alignment horizontal="left"/>
    </xf>
    <xf numFmtId="41" fontId="2" fillId="3" borderId="0" xfId="0" applyNumberFormat="1" applyFont="1" applyFill="1" applyBorder="1" applyProtection="1"/>
    <xf numFmtId="41" fontId="3" fillId="3" borderId="0" xfId="0" applyNumberFormat="1" applyFont="1" applyFill="1" applyBorder="1" applyProtection="1"/>
    <xf numFmtId="0" fontId="3" fillId="3" borderId="9" xfId="0" applyFont="1" applyFill="1" applyBorder="1" applyAlignment="1" applyProtection="1">
      <alignment horizontal="left"/>
    </xf>
    <xf numFmtId="0" fontId="3" fillId="3" borderId="10" xfId="0" applyFont="1" applyFill="1" applyBorder="1" applyProtection="1"/>
    <xf numFmtId="164" fontId="3" fillId="3" borderId="10" xfId="0" applyNumberFormat="1" applyFont="1" applyFill="1" applyBorder="1" applyProtection="1"/>
    <xf numFmtId="41" fontId="3" fillId="3" borderId="10" xfId="0" applyNumberFormat="1" applyFont="1" applyFill="1" applyBorder="1" applyProtection="1"/>
    <xf numFmtId="41" fontId="3" fillId="3" borderId="11" xfId="0" applyNumberFormat="1" applyFont="1" applyFill="1" applyBorder="1" applyProtection="1"/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Protection="1"/>
    <xf numFmtId="41" fontId="2" fillId="0" borderId="5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41" fontId="1" fillId="0" borderId="6" xfId="0" applyNumberFormat="1" applyFont="1" applyFill="1" applyBorder="1" applyProtection="1"/>
    <xf numFmtId="41" fontId="1" fillId="0" borderId="7" xfId="0" applyNumberFormat="1" applyFont="1" applyFill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41" fontId="3" fillId="0" borderId="0" xfId="0" applyNumberFormat="1" applyFont="1" applyBorder="1" applyProtection="1"/>
    <xf numFmtId="0" fontId="1" fillId="0" borderId="0" xfId="0" applyFont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left"/>
    </xf>
    <xf numFmtId="0" fontId="1" fillId="0" borderId="3" xfId="0" applyFont="1" applyBorder="1" applyProtection="1"/>
    <xf numFmtId="41" fontId="1" fillId="0" borderId="5" xfId="0" applyNumberFormat="1" applyFont="1" applyBorder="1" applyProtection="1"/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Protection="1"/>
    <xf numFmtId="0" fontId="1" fillId="0" borderId="10" xfId="0" applyFont="1" applyBorder="1" applyAlignment="1" applyProtection="1">
      <alignment horizontal="left"/>
    </xf>
    <xf numFmtId="0" fontId="1" fillId="0" borderId="11" xfId="0" applyFont="1" applyBorder="1" applyProtection="1"/>
    <xf numFmtId="41" fontId="1" fillId="0" borderId="4" xfId="0" applyNumberFormat="1" applyFont="1" applyFill="1" applyBorder="1" applyProtection="1"/>
    <xf numFmtId="10" fontId="1" fillId="2" borderId="5" xfId="0" applyNumberFormat="1" applyFont="1" applyFill="1" applyBorder="1" applyProtection="1">
      <protection locked="0"/>
    </xf>
    <xf numFmtId="164" fontId="3" fillId="5" borderId="0" xfId="0" applyNumberFormat="1" applyFont="1" applyFill="1" applyBorder="1" applyProtection="1">
      <protection locked="0"/>
    </xf>
    <xf numFmtId="10" fontId="1" fillId="2" borderId="3" xfId="0" applyNumberFormat="1" applyFont="1" applyFill="1" applyBorder="1" applyProtection="1">
      <protection locked="0"/>
    </xf>
    <xf numFmtId="10" fontId="1" fillId="2" borderId="0" xfId="6" applyNumberFormat="1" applyFont="1" applyFill="1" applyBorder="1" applyProtection="1">
      <protection locked="0"/>
    </xf>
    <xf numFmtId="10" fontId="1" fillId="2" borderId="3" xfId="6" applyNumberFormat="1" applyFont="1" applyFill="1" applyBorder="1" applyProtection="1">
      <protection locked="0"/>
    </xf>
    <xf numFmtId="10" fontId="1" fillId="2" borderId="4" xfId="6" applyNumberFormat="1" applyFont="1" applyFill="1" applyBorder="1" applyProtection="1">
      <protection locked="0"/>
    </xf>
    <xf numFmtId="41" fontId="1" fillId="2" borderId="6" xfId="0" applyNumberFormat="1" applyFont="1" applyFill="1" applyBorder="1" applyProtection="1">
      <protection locked="0"/>
    </xf>
    <xf numFmtId="41" fontId="1" fillId="2" borderId="7" xfId="0" applyNumberFormat="1" applyFont="1" applyFill="1" applyBorder="1" applyProtection="1">
      <protection locked="0"/>
    </xf>
    <xf numFmtId="41" fontId="1" fillId="2" borderId="8" xfId="0" applyNumberFormat="1" applyFont="1" applyFill="1" applyBorder="1" applyProtection="1">
      <protection locked="0"/>
    </xf>
    <xf numFmtId="41" fontId="4" fillId="2" borderId="7" xfId="0" applyNumberFormat="1" applyFont="1" applyFill="1" applyBorder="1" applyProtection="1">
      <protection locked="0"/>
    </xf>
    <xf numFmtId="41" fontId="2" fillId="2" borderId="5" xfId="0" applyNumberFormat="1" applyFont="1" applyFill="1" applyBorder="1" applyProtection="1">
      <protection locked="0"/>
    </xf>
    <xf numFmtId="0" fontId="1" fillId="0" borderId="2" xfId="0" applyFont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41" fontId="3" fillId="3" borderId="0" xfId="0" applyNumberFormat="1" applyFont="1" applyFill="1" applyBorder="1" applyAlignment="1" applyProtection="1">
      <alignment horizontal="left"/>
    </xf>
    <xf numFmtId="0" fontId="2" fillId="0" borderId="0" xfId="0" applyFont="1" applyProtection="1"/>
    <xf numFmtId="0" fontId="13" fillId="0" borderId="0" xfId="0" applyFont="1" applyProtection="1"/>
    <xf numFmtId="41" fontId="1" fillId="0" borderId="7" xfId="0" applyNumberFormat="1" applyFont="1" applyBorder="1" applyProtection="1"/>
    <xf numFmtId="41" fontId="1" fillId="6" borderId="5" xfId="0" applyNumberFormat="1" applyFont="1" applyFill="1" applyBorder="1" applyProtection="1"/>
    <xf numFmtId="0" fontId="1" fillId="0" borderId="5" xfId="0" applyFont="1" applyBorder="1" applyProtection="1"/>
    <xf numFmtId="43" fontId="8" fillId="0" borderId="4" xfId="1" applyFont="1" applyBorder="1" applyAlignment="1" applyProtection="1">
      <alignment horizontal="left"/>
    </xf>
    <xf numFmtId="0" fontId="2" fillId="0" borderId="3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Protection="1"/>
    <xf numFmtId="43" fontId="8" fillId="0" borderId="9" xfId="1" applyFont="1" applyBorder="1" applyAlignment="1" applyProtection="1">
      <alignment horizontal="left"/>
    </xf>
    <xf numFmtId="43" fontId="8" fillId="0" borderId="2" xfId="1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0" borderId="0" xfId="0" applyFont="1" applyBorder="1" applyProtection="1">
      <protection locked="0"/>
    </xf>
    <xf numFmtId="0" fontId="1" fillId="0" borderId="12" xfId="0" applyFont="1" applyBorder="1" applyProtection="1"/>
    <xf numFmtId="0" fontId="6" fillId="0" borderId="4" xfId="0" applyFont="1" applyBorder="1" applyAlignment="1" applyProtection="1">
      <alignment horizontal="center"/>
    </xf>
    <xf numFmtId="41" fontId="1" fillId="3" borderId="0" xfId="0" applyNumberFormat="1" applyFont="1" applyFill="1" applyBorder="1" applyProtection="1"/>
    <xf numFmtId="41" fontId="3" fillId="3" borderId="4" xfId="0" applyNumberFormat="1" applyFont="1" applyFill="1" applyBorder="1" applyProtection="1"/>
    <xf numFmtId="41" fontId="3" fillId="0" borderId="0" xfId="0" applyNumberFormat="1" applyFont="1" applyProtection="1"/>
    <xf numFmtId="1" fontId="1" fillId="0" borderId="0" xfId="0" applyNumberFormat="1" applyFont="1" applyProtection="1"/>
    <xf numFmtId="41" fontId="1" fillId="0" borderId="0" xfId="0" applyNumberFormat="1" applyFont="1" applyFill="1" applyBorder="1" applyProtection="1"/>
    <xf numFmtId="41" fontId="1" fillId="3" borderId="4" xfId="0" applyNumberFormat="1" applyFont="1" applyFill="1" applyBorder="1" applyProtection="1"/>
    <xf numFmtId="41" fontId="1" fillId="3" borderId="3" xfId="0" applyNumberFormat="1" applyFont="1" applyFill="1" applyBorder="1" applyProtection="1"/>
    <xf numFmtId="41" fontId="1" fillId="2" borderId="4" xfId="0" applyNumberFormat="1" applyFont="1" applyFill="1" applyBorder="1" applyProtection="1">
      <protection locked="0"/>
    </xf>
    <xf numFmtId="41" fontId="1" fillId="2" borderId="0" xfId="0" applyNumberFormat="1" applyFont="1" applyFill="1" applyBorder="1" applyProtection="1">
      <protection locked="0"/>
    </xf>
    <xf numFmtId="41" fontId="1" fillId="2" borderId="3" xfId="0" applyNumberFormat="1" applyFont="1" applyFill="1" applyBorder="1" applyProtection="1">
      <protection locked="0"/>
    </xf>
    <xf numFmtId="41" fontId="7" fillId="0" borderId="0" xfId="0" applyNumberFormat="1" applyFont="1" applyAlignment="1" applyProtection="1">
      <alignment horizontal="right"/>
    </xf>
    <xf numFmtId="0" fontId="3" fillId="3" borderId="4" xfId="0" applyFont="1" applyFill="1" applyBorder="1" applyProtection="1"/>
    <xf numFmtId="41" fontId="13" fillId="0" borderId="0" xfId="0" applyNumberFormat="1" applyFont="1" applyProtection="1"/>
    <xf numFmtId="0" fontId="4" fillId="3" borderId="4" xfId="0" applyFont="1" applyFill="1" applyBorder="1" applyProtection="1"/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4" fillId="2" borderId="7" xfId="0" quotePrefix="1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1" fontId="1" fillId="2" borderId="4" xfId="0" applyNumberFormat="1" applyFont="1" applyFill="1" applyBorder="1" applyAlignment="1" applyProtection="1">
      <alignment horizontal="right"/>
      <protection locked="0"/>
    </xf>
    <xf numFmtId="41" fontId="1" fillId="2" borderId="0" xfId="0" applyNumberFormat="1" applyFont="1" applyFill="1" applyBorder="1" applyAlignment="1" applyProtection="1">
      <alignment horizontal="right"/>
      <protection locked="0"/>
    </xf>
    <xf numFmtId="41" fontId="1" fillId="2" borderId="3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3" borderId="4" xfId="0" applyFont="1" applyFill="1" applyBorder="1" applyAlignment="1" applyProtection="1"/>
    <xf numFmtId="0" fontId="3" fillId="3" borderId="0" xfId="0" applyFont="1" applyFill="1" applyBorder="1" applyAlignment="1" applyProtection="1"/>
    <xf numFmtId="0" fontId="1" fillId="3" borderId="6" xfId="0" applyFont="1" applyFill="1" applyBorder="1" applyProtection="1"/>
    <xf numFmtId="0" fontId="2" fillId="3" borderId="7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 wrapText="1"/>
    </xf>
    <xf numFmtId="0" fontId="2" fillId="7" borderId="1" xfId="0" applyFont="1" applyFill="1" applyBorder="1" applyProtection="1"/>
    <xf numFmtId="0" fontId="2" fillId="7" borderId="2" xfId="0" applyFont="1" applyFill="1" applyBorder="1" applyProtection="1"/>
    <xf numFmtId="0" fontId="2" fillId="7" borderId="12" xfId="0" applyFont="1" applyFill="1" applyBorder="1" applyProtection="1"/>
    <xf numFmtId="0" fontId="2" fillId="3" borderId="7" xfId="0" applyFont="1" applyFill="1" applyBorder="1" applyProtection="1"/>
    <xf numFmtId="164" fontId="1" fillId="3" borderId="7" xfId="0" applyNumberFormat="1" applyFont="1" applyFill="1" applyBorder="1" applyAlignment="1" applyProtection="1">
      <alignment horizontal="center"/>
    </xf>
    <xf numFmtId="164" fontId="2" fillId="7" borderId="5" xfId="0" applyNumberFormat="1" applyFont="1" applyFill="1" applyBorder="1" applyProtection="1"/>
    <xf numFmtId="1" fontId="1" fillId="7" borderId="1" xfId="0" applyNumberFormat="1" applyFont="1" applyFill="1" applyBorder="1" applyProtection="1"/>
    <xf numFmtId="1" fontId="1" fillId="7" borderId="6" xfId="0" applyNumberFormat="1" applyFont="1" applyFill="1" applyBorder="1" applyProtection="1"/>
    <xf numFmtId="0" fontId="1" fillId="3" borderId="15" xfId="0" applyFont="1" applyFill="1" applyBorder="1" applyProtection="1"/>
    <xf numFmtId="165" fontId="1" fillId="3" borderId="5" xfId="1" applyNumberFormat="1" applyFont="1" applyFill="1" applyBorder="1" applyProtection="1"/>
    <xf numFmtId="165" fontId="1" fillId="3" borderId="14" xfId="1" applyNumberFormat="1" applyFont="1" applyFill="1" applyBorder="1" applyProtection="1"/>
    <xf numFmtId="165" fontId="1" fillId="3" borderId="15" xfId="1" applyNumberFormat="1" applyFont="1" applyFill="1" applyBorder="1" applyProtection="1"/>
    <xf numFmtId="165" fontId="1" fillId="3" borderId="13" xfId="1" applyNumberFormat="1" applyFont="1" applyFill="1" applyBorder="1" applyProtection="1"/>
    <xf numFmtId="1" fontId="2" fillId="7" borderId="5" xfId="0" applyNumberFormat="1" applyFont="1" applyFill="1" applyBorder="1" applyProtection="1"/>
    <xf numFmtId="1" fontId="1" fillId="0" borderId="0" xfId="0" applyNumberFormat="1" applyFont="1" applyFill="1" applyProtection="1"/>
    <xf numFmtId="0" fontId="2" fillId="3" borderId="6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center" wrapText="1"/>
    </xf>
    <xf numFmtId="0" fontId="2" fillId="3" borderId="8" xfId="0" applyFont="1" applyFill="1" applyBorder="1" applyProtection="1"/>
    <xf numFmtId="164" fontId="1" fillId="3" borderId="8" xfId="0" applyNumberFormat="1" applyFont="1" applyFill="1" applyBorder="1" applyAlignment="1" applyProtection="1">
      <alignment horizontal="center"/>
    </xf>
    <xf numFmtId="164" fontId="1" fillId="3" borderId="9" xfId="0" applyNumberFormat="1" applyFont="1" applyFill="1" applyBorder="1" applyProtection="1"/>
    <xf numFmtId="164" fontId="1" fillId="3" borderId="10" xfId="0" applyNumberFormat="1" applyFont="1" applyFill="1" applyBorder="1" applyProtection="1"/>
    <xf numFmtId="164" fontId="1" fillId="3" borderId="11" xfId="0" applyNumberFormat="1" applyFont="1" applyFill="1" applyBorder="1" applyProtection="1"/>
    <xf numFmtId="41" fontId="2" fillId="3" borderId="6" xfId="0" applyNumberFormat="1" applyFont="1" applyFill="1" applyBorder="1" applyProtection="1"/>
    <xf numFmtId="41" fontId="1" fillId="3" borderId="7" xfId="0" applyNumberFormat="1" applyFont="1" applyFill="1" applyBorder="1" applyProtection="1"/>
    <xf numFmtId="41" fontId="2" fillId="3" borderId="7" xfId="0" applyNumberFormat="1" applyFont="1" applyFill="1" applyBorder="1" applyProtection="1"/>
    <xf numFmtId="41" fontId="2" fillId="3" borderId="8" xfId="0" applyNumberFormat="1" applyFont="1" applyFill="1" applyBorder="1" applyProtection="1"/>
    <xf numFmtId="0" fontId="2" fillId="3" borderId="1" xfId="0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>
      <alignment horizontal="left"/>
    </xf>
    <xf numFmtId="165" fontId="1" fillId="3" borderId="6" xfId="1" applyNumberFormat="1" applyFont="1" applyFill="1" applyBorder="1" applyProtection="1"/>
    <xf numFmtId="165" fontId="1" fillId="3" borderId="1" xfId="1" applyNumberFormat="1" applyFont="1" applyFill="1" applyBorder="1" applyProtection="1"/>
    <xf numFmtId="165" fontId="1" fillId="3" borderId="2" xfId="1" applyNumberFormat="1" applyFont="1" applyFill="1" applyBorder="1" applyProtection="1"/>
    <xf numFmtId="165" fontId="1" fillId="3" borderId="12" xfId="1" applyNumberFormat="1" applyFont="1" applyFill="1" applyBorder="1" applyProtection="1"/>
    <xf numFmtId="165" fontId="1" fillId="3" borderId="7" xfId="1" applyNumberFormat="1" applyFont="1" applyFill="1" applyBorder="1" applyProtection="1"/>
    <xf numFmtId="165" fontId="1" fillId="3" borderId="4" xfId="1" applyNumberFormat="1" applyFont="1" applyFill="1" applyBorder="1" applyProtection="1"/>
    <xf numFmtId="165" fontId="1" fillId="3" borderId="0" xfId="1" applyNumberFormat="1" applyFont="1" applyFill="1" applyBorder="1" applyProtection="1"/>
    <xf numFmtId="165" fontId="1" fillId="3" borderId="3" xfId="1" applyNumberFormat="1" applyFont="1" applyFill="1" applyBorder="1" applyProtection="1"/>
    <xf numFmtId="0" fontId="2" fillId="3" borderId="9" xfId="0" applyFont="1" applyFill="1" applyBorder="1" applyAlignment="1" applyProtection="1">
      <alignment horizontal="left" wrapText="1"/>
    </xf>
    <xf numFmtId="0" fontId="2" fillId="3" borderId="10" xfId="0" applyFont="1" applyFill="1" applyBorder="1" applyAlignment="1" applyProtection="1">
      <alignment horizontal="left"/>
    </xf>
    <xf numFmtId="165" fontId="1" fillId="3" borderId="8" xfId="1" applyNumberFormat="1" applyFont="1" applyFill="1" applyBorder="1" applyProtection="1"/>
    <xf numFmtId="165" fontId="1" fillId="3" borderId="9" xfId="1" applyNumberFormat="1" applyFont="1" applyFill="1" applyBorder="1" applyProtection="1"/>
    <xf numFmtId="165" fontId="1" fillId="3" borderId="10" xfId="1" applyNumberFormat="1" applyFont="1" applyFill="1" applyBorder="1" applyProtection="1"/>
    <xf numFmtId="165" fontId="1" fillId="3" borderId="11" xfId="1" applyNumberFormat="1" applyFont="1" applyFill="1" applyBorder="1" applyProtection="1"/>
    <xf numFmtId="0" fontId="2" fillId="3" borderId="5" xfId="0" applyFont="1" applyFill="1" applyBorder="1" applyAlignment="1" applyProtection="1">
      <alignment wrapText="1"/>
    </xf>
    <xf numFmtId="0" fontId="2" fillId="3" borderId="15" xfId="0" applyFont="1" applyFill="1" applyBorder="1" applyProtection="1"/>
    <xf numFmtId="0" fontId="2" fillId="3" borderId="13" xfId="0" applyFont="1" applyFill="1" applyBorder="1" applyProtection="1"/>
    <xf numFmtId="1" fontId="2" fillId="0" borderId="0" xfId="0" applyNumberFormat="1" applyFont="1" applyFill="1" applyProtection="1"/>
    <xf numFmtId="0" fontId="1" fillId="6" borderId="4" xfId="0" applyFont="1" applyFill="1" applyBorder="1" applyAlignment="1" applyProtection="1">
      <alignment horizontal="left"/>
    </xf>
    <xf numFmtId="0" fontId="1" fillId="6" borderId="0" xfId="0" applyFont="1" applyFill="1" applyBorder="1" applyProtection="1"/>
    <xf numFmtId="0" fontId="1" fillId="6" borderId="7" xfId="0" applyFont="1" applyFill="1" applyBorder="1" applyProtection="1"/>
    <xf numFmtId="0" fontId="1" fillId="6" borderId="3" xfId="0" applyFont="1" applyFill="1" applyBorder="1" applyAlignment="1" applyProtection="1">
      <alignment horizontal="center"/>
    </xf>
    <xf numFmtId="41" fontId="1" fillId="6" borderId="4" xfId="0" applyNumberFormat="1" applyFont="1" applyFill="1" applyBorder="1" applyProtection="1"/>
    <xf numFmtId="41" fontId="1" fillId="6" borderId="0" xfId="0" applyNumberFormat="1" applyFont="1" applyFill="1" applyBorder="1" applyProtection="1"/>
    <xf numFmtId="41" fontId="1" fillId="6" borderId="3" xfId="0" applyNumberFormat="1" applyFont="1" applyFill="1" applyBorder="1" applyProtection="1"/>
    <xf numFmtId="41" fontId="2" fillId="3" borderId="1" xfId="0" applyNumberFormat="1" applyFont="1" applyFill="1" applyBorder="1" applyProtection="1"/>
    <xf numFmtId="41" fontId="2" fillId="3" borderId="2" xfId="0" applyNumberFormat="1" applyFont="1" applyFill="1" applyBorder="1" applyProtection="1"/>
    <xf numFmtId="41" fontId="2" fillId="3" borderId="12" xfId="0" applyNumberFormat="1" applyFont="1" applyFill="1" applyBorder="1" applyProtection="1"/>
    <xf numFmtId="41" fontId="2" fillId="0" borderId="0" xfId="0" applyNumberFormat="1" applyFont="1" applyProtection="1"/>
    <xf numFmtId="41" fontId="1" fillId="3" borderId="8" xfId="0" applyNumberFormat="1" applyFont="1" applyFill="1" applyBorder="1" applyProtection="1"/>
    <xf numFmtId="41" fontId="2" fillId="3" borderId="1" xfId="0" applyNumberFormat="1" applyFont="1" applyFill="1" applyBorder="1" applyAlignment="1" applyProtection="1"/>
    <xf numFmtId="41" fontId="2" fillId="3" borderId="2" xfId="0" applyNumberFormat="1" applyFont="1" applyFill="1" applyBorder="1" applyAlignment="1" applyProtection="1"/>
    <xf numFmtId="41" fontId="2" fillId="3" borderId="12" xfId="0" applyNumberFormat="1" applyFont="1" applyFill="1" applyBorder="1" applyAlignment="1" applyProtection="1"/>
    <xf numFmtId="41" fontId="2" fillId="3" borderId="6" xfId="0" applyNumberFormat="1" applyFont="1" applyFill="1" applyBorder="1" applyAlignment="1" applyProtection="1"/>
    <xf numFmtId="41" fontId="2" fillId="3" borderId="4" xfId="0" applyNumberFormat="1" applyFont="1" applyFill="1" applyBorder="1" applyAlignment="1" applyProtection="1"/>
    <xf numFmtId="41" fontId="2" fillId="3" borderId="0" xfId="0" applyNumberFormat="1" applyFont="1" applyFill="1" applyBorder="1" applyAlignment="1" applyProtection="1"/>
    <xf numFmtId="41" fontId="2" fillId="3" borderId="3" xfId="0" applyNumberFormat="1" applyFont="1" applyFill="1" applyBorder="1" applyAlignment="1" applyProtection="1"/>
    <xf numFmtId="41" fontId="2" fillId="3" borderId="7" xfId="0" applyNumberFormat="1" applyFont="1" applyFill="1" applyBorder="1" applyAlignment="1" applyProtection="1"/>
    <xf numFmtId="41" fontId="2" fillId="3" borderId="9" xfId="0" applyNumberFormat="1" applyFont="1" applyFill="1" applyBorder="1" applyAlignment="1" applyProtection="1"/>
    <xf numFmtId="41" fontId="2" fillId="3" borderId="10" xfId="0" applyNumberFormat="1" applyFont="1" applyFill="1" applyBorder="1" applyAlignment="1" applyProtection="1"/>
    <xf numFmtId="41" fontId="1" fillId="3" borderId="9" xfId="0" applyNumberFormat="1" applyFont="1" applyFill="1" applyBorder="1" applyAlignment="1" applyProtection="1"/>
    <xf numFmtId="41" fontId="2" fillId="3" borderId="11" xfId="0" applyNumberFormat="1" applyFont="1" applyFill="1" applyBorder="1" applyAlignment="1" applyProtection="1"/>
    <xf numFmtId="41" fontId="2" fillId="3" borderId="8" xfId="0" applyNumberFormat="1" applyFont="1" applyFill="1" applyBorder="1" applyAlignment="1" applyProtection="1"/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1" fillId="5" borderId="9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165" fontId="1" fillId="5" borderId="12" xfId="1" applyNumberFormat="1" applyFont="1" applyFill="1" applyBorder="1" applyProtection="1">
      <protection locked="0"/>
    </xf>
    <xf numFmtId="0" fontId="1" fillId="5" borderId="1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10" fontId="1" fillId="5" borderId="6" xfId="2" applyNumberFormat="1" applyFont="1" applyFill="1" applyBorder="1" applyProtection="1">
      <protection locked="0"/>
    </xf>
    <xf numFmtId="165" fontId="1" fillId="5" borderId="1" xfId="1" applyNumberFormat="1" applyFont="1" applyFill="1" applyBorder="1" applyProtection="1">
      <protection locked="0"/>
    </xf>
    <xf numFmtId="165" fontId="1" fillId="5" borderId="2" xfId="1" applyNumberFormat="1" applyFont="1" applyFill="1" applyBorder="1" applyProtection="1">
      <protection locked="0"/>
    </xf>
    <xf numFmtId="10" fontId="1" fillId="5" borderId="7" xfId="2" applyNumberFormat="1" applyFont="1" applyFill="1" applyBorder="1" applyProtection="1">
      <protection locked="0"/>
    </xf>
    <xf numFmtId="165" fontId="1" fillId="5" borderId="3" xfId="1" applyNumberFormat="1" applyFont="1" applyFill="1" applyBorder="1" applyProtection="1">
      <protection locked="0"/>
    </xf>
    <xf numFmtId="165" fontId="1" fillId="5" borderId="4" xfId="1" applyNumberFormat="1" applyFont="1" applyFill="1" applyBorder="1" applyProtection="1">
      <protection locked="0"/>
    </xf>
    <xf numFmtId="165" fontId="1" fillId="5" borderId="0" xfId="1" applyNumberFormat="1" applyFont="1" applyFill="1" applyBorder="1" applyProtection="1">
      <protection locked="0"/>
    </xf>
    <xf numFmtId="10" fontId="1" fillId="5" borderId="8" xfId="2" applyNumberFormat="1" applyFont="1" applyFill="1" applyBorder="1" applyProtection="1">
      <protection locked="0"/>
    </xf>
    <xf numFmtId="0" fontId="1" fillId="3" borderId="1" xfId="0" applyFont="1" applyFill="1" applyBorder="1" applyProtection="1"/>
    <xf numFmtId="0" fontId="3" fillId="3" borderId="4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8" fillId="0" borderId="0" xfId="0" applyFont="1" applyProtection="1"/>
    <xf numFmtId="0" fontId="2" fillId="3" borderId="4" xfId="0" applyFont="1" applyFill="1" applyBorder="1" applyProtection="1"/>
    <xf numFmtId="0" fontId="2" fillId="3" borderId="0" xfId="0" applyFont="1" applyFill="1" applyBorder="1" applyProtection="1"/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1" fillId="3" borderId="4" xfId="0" applyFont="1" applyFill="1" applyBorder="1" applyProtection="1"/>
    <xf numFmtId="165" fontId="1" fillId="6" borderId="4" xfId="0" applyNumberFormat="1" applyFont="1" applyFill="1" applyBorder="1" applyAlignment="1" applyProtection="1">
      <alignment horizontal="left"/>
    </xf>
    <xf numFmtId="43" fontId="1" fillId="6" borderId="0" xfId="0" applyNumberFormat="1" applyFont="1" applyFill="1" applyBorder="1" applyProtection="1"/>
    <xf numFmtId="41" fontId="1" fillId="6" borderId="1" xfId="0" applyNumberFormat="1" applyFont="1" applyFill="1" applyBorder="1" applyProtection="1"/>
    <xf numFmtId="41" fontId="1" fillId="6" borderId="2" xfId="0" applyNumberFormat="1" applyFont="1" applyFill="1" applyBorder="1" applyProtection="1"/>
    <xf numFmtId="41" fontId="1" fillId="6" borderId="12" xfId="0" applyNumberFormat="1" applyFont="1" applyFill="1" applyBorder="1" applyProtection="1"/>
    <xf numFmtId="0" fontId="1" fillId="3" borderId="12" xfId="0" applyFont="1" applyFill="1" applyBorder="1" applyProtection="1"/>
    <xf numFmtId="164" fontId="1" fillId="3" borderId="7" xfId="0" applyNumberFormat="1" applyFont="1" applyFill="1" applyBorder="1" applyProtection="1"/>
    <xf numFmtId="0" fontId="1" fillId="3" borderId="7" xfId="0" applyFont="1" applyFill="1" applyBorder="1" applyProtection="1"/>
    <xf numFmtId="0" fontId="8" fillId="0" borderId="0" xfId="0" applyFont="1" applyAlignment="1" applyProtection="1">
      <alignment horizontal="left"/>
    </xf>
    <xf numFmtId="41" fontId="1" fillId="5" borderId="0" xfId="0" applyNumberFormat="1" applyFont="1" applyFill="1" applyBorder="1" applyProtection="1">
      <protection locked="0"/>
    </xf>
    <xf numFmtId="41" fontId="1" fillId="5" borderId="3" xfId="0" applyNumberFormat="1" applyFont="1" applyFill="1" applyBorder="1" applyProtection="1">
      <protection locked="0"/>
    </xf>
    <xf numFmtId="41" fontId="1" fillId="5" borderId="4" xfId="0" applyNumberFormat="1" applyFont="1" applyFill="1" applyBorder="1" applyProtection="1">
      <protection locked="0"/>
    </xf>
    <xf numFmtId="41" fontId="1" fillId="5" borderId="7" xfId="0" applyNumberFormat="1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</xf>
    <xf numFmtId="41" fontId="3" fillId="3" borderId="4" xfId="0" applyNumberFormat="1" applyFont="1" applyFill="1" applyBorder="1" applyAlignment="1" applyProtection="1">
      <alignment horizontal="center"/>
    </xf>
    <xf numFmtId="41" fontId="3" fillId="3" borderId="3" xfId="0" applyNumberFormat="1" applyFont="1" applyFill="1" applyBorder="1" applyAlignment="1" applyProtection="1">
      <alignment horizontal="center"/>
    </xf>
    <xf numFmtId="164" fontId="1" fillId="3" borderId="3" xfId="0" applyNumberFormat="1" applyFont="1" applyFill="1" applyBorder="1" applyAlignment="1" applyProtection="1">
      <alignment horizontal="center"/>
    </xf>
    <xf numFmtId="41" fontId="1" fillId="0" borderId="2" xfId="0" applyNumberFormat="1" applyFont="1" applyFill="1" applyBorder="1" applyProtection="1"/>
    <xf numFmtId="41" fontId="1" fillId="0" borderId="12" xfId="0" applyNumberFormat="1" applyFont="1" applyFill="1" applyBorder="1" applyProtection="1"/>
    <xf numFmtId="41" fontId="1" fillId="0" borderId="1" xfId="0" applyNumberFormat="1" applyFont="1" applyFill="1" applyBorder="1" applyProtection="1"/>
    <xf numFmtId="0" fontId="1" fillId="0" borderId="10" xfId="0" applyFont="1" applyFill="1" applyBorder="1" applyProtection="1"/>
    <xf numFmtId="41" fontId="1" fillId="0" borderId="9" xfId="0" applyNumberFormat="1" applyFont="1" applyFill="1" applyBorder="1" applyProtection="1"/>
    <xf numFmtId="41" fontId="1" fillId="0" borderId="10" xfId="0" applyNumberFormat="1" applyFont="1" applyFill="1" applyBorder="1" applyProtection="1"/>
    <xf numFmtId="41" fontId="1" fillId="0" borderId="11" xfId="0" applyNumberFormat="1" applyFont="1" applyFill="1" applyBorder="1" applyProtection="1"/>
    <xf numFmtId="41" fontId="1" fillId="0" borderId="3" xfId="0" applyNumberFormat="1" applyFont="1" applyFill="1" applyBorder="1" applyProtection="1"/>
    <xf numFmtId="41" fontId="2" fillId="0" borderId="10" xfId="0" applyNumberFormat="1" applyFont="1" applyFill="1" applyBorder="1" applyProtection="1"/>
    <xf numFmtId="41" fontId="2" fillId="0" borderId="11" xfId="0" applyNumberFormat="1" applyFont="1" applyFill="1" applyBorder="1" applyProtection="1"/>
    <xf numFmtId="0" fontId="1" fillId="0" borderId="0" xfId="0" applyFont="1" applyFill="1" applyBorder="1" applyProtection="1"/>
    <xf numFmtId="41" fontId="2" fillId="0" borderId="9" xfId="0" applyNumberFormat="1" applyFont="1" applyFill="1" applyBorder="1" applyProtection="1"/>
    <xf numFmtId="41" fontId="2" fillId="0" borderId="4" xfId="0" applyNumberFormat="1" applyFont="1" applyFill="1" applyBorder="1" applyProtection="1"/>
    <xf numFmtId="41" fontId="2" fillId="0" borderId="0" xfId="0" applyNumberFormat="1" applyFont="1" applyFill="1" applyBorder="1" applyProtection="1"/>
    <xf numFmtId="41" fontId="2" fillId="0" borderId="3" xfId="0" applyNumberFormat="1" applyFont="1" applyFill="1" applyBorder="1" applyProtection="1"/>
    <xf numFmtId="41" fontId="15" fillId="0" borderId="9" xfId="0" applyNumberFormat="1" applyFont="1" applyFill="1" applyBorder="1" applyProtection="1"/>
    <xf numFmtId="41" fontId="15" fillId="0" borderId="11" xfId="0" applyNumberFormat="1" applyFont="1" applyFill="1" applyBorder="1" applyProtection="1"/>
    <xf numFmtId="41" fontId="15" fillId="0" borderId="10" xfId="0" applyNumberFormat="1" applyFont="1" applyFill="1" applyBorder="1" applyProtection="1"/>
    <xf numFmtId="41" fontId="15" fillId="0" borderId="4" xfId="0" applyNumberFormat="1" applyFont="1" applyFill="1" applyBorder="1" applyProtection="1"/>
    <xf numFmtId="41" fontId="15" fillId="0" borderId="3" xfId="0" applyNumberFormat="1" applyFont="1" applyFill="1" applyBorder="1" applyProtection="1"/>
    <xf numFmtId="41" fontId="15" fillId="0" borderId="1" xfId="0" applyNumberFormat="1" applyFont="1" applyFill="1" applyBorder="1" applyProtection="1"/>
    <xf numFmtId="41" fontId="15" fillId="0" borderId="2" xfId="0" applyNumberFormat="1" applyFont="1" applyFill="1" applyBorder="1" applyProtection="1"/>
    <xf numFmtId="41" fontId="15" fillId="0" borderId="12" xfId="0" applyNumberFormat="1" applyFont="1" applyFill="1" applyBorder="1" applyProtection="1"/>
    <xf numFmtId="41" fontId="15" fillId="0" borderId="0" xfId="0" applyNumberFormat="1" applyFont="1" applyFill="1" applyBorder="1" applyProtection="1"/>
    <xf numFmtId="0" fontId="2" fillId="0" borderId="0" xfId="0" applyFont="1" applyFill="1" applyProtection="1"/>
    <xf numFmtId="41" fontId="13" fillId="0" borderId="4" xfId="0" quotePrefix="1" applyNumberFormat="1" applyFont="1" applyBorder="1" applyProtection="1"/>
    <xf numFmtId="0" fontId="13" fillId="0" borderId="0" xfId="0" quotePrefix="1" applyFont="1" applyProtection="1"/>
    <xf numFmtId="41" fontId="1" fillId="5" borderId="10" xfId="0" applyNumberFormat="1" applyFont="1" applyFill="1" applyBorder="1" applyProtection="1">
      <protection locked="0"/>
    </xf>
    <xf numFmtId="41" fontId="1" fillId="5" borderId="9" xfId="0" applyNumberFormat="1" applyFont="1" applyFill="1" applyBorder="1" applyProtection="1">
      <protection locked="0"/>
    </xf>
    <xf numFmtId="41" fontId="1" fillId="5" borderId="11" xfId="0" applyNumberFormat="1" applyFont="1" applyFill="1" applyBorder="1" applyProtection="1">
      <protection locked="0"/>
    </xf>
    <xf numFmtId="41" fontId="1" fillId="0" borderId="2" xfId="0" applyNumberFormat="1" applyFont="1" applyBorder="1" applyAlignment="1" applyProtection="1">
      <alignment horizontal="left"/>
    </xf>
    <xf numFmtId="41" fontId="1" fillId="0" borderId="10" xfId="0" applyNumberFormat="1" applyFont="1" applyBorder="1" applyAlignment="1" applyProtection="1">
      <alignment horizontal="left"/>
    </xf>
    <xf numFmtId="41" fontId="1" fillId="0" borderId="0" xfId="0" applyNumberFormat="1" applyFont="1" applyAlignment="1" applyProtection="1">
      <alignment horizontal="left"/>
    </xf>
    <xf numFmtId="41" fontId="1" fillId="3" borderId="2" xfId="0" applyNumberFormat="1" applyFont="1" applyFill="1" applyBorder="1" applyAlignment="1" applyProtection="1">
      <alignment horizontal="left"/>
    </xf>
    <xf numFmtId="41" fontId="1" fillId="3" borderId="0" xfId="0" applyNumberFormat="1" applyFont="1" applyFill="1" applyBorder="1" applyAlignment="1" applyProtection="1">
      <alignment horizontal="left"/>
    </xf>
    <xf numFmtId="41" fontId="1" fillId="3" borderId="10" xfId="0" applyNumberFormat="1" applyFont="1" applyFill="1" applyBorder="1" applyAlignment="1" applyProtection="1">
      <alignment horizontal="left"/>
    </xf>
    <xf numFmtId="41" fontId="1" fillId="3" borderId="1" xfId="0" applyNumberFormat="1" applyFont="1" applyFill="1" applyBorder="1" applyAlignment="1" applyProtection="1">
      <alignment horizontal="left"/>
    </xf>
    <xf numFmtId="41" fontId="3" fillId="3" borderId="4" xfId="0" applyNumberFormat="1" applyFont="1" applyFill="1" applyBorder="1" applyAlignment="1" applyProtection="1">
      <alignment horizontal="left"/>
    </xf>
    <xf numFmtId="164" fontId="1" fillId="3" borderId="4" xfId="0" applyNumberFormat="1" applyFont="1" applyFill="1" applyBorder="1" applyAlignment="1" applyProtection="1">
      <alignment horizontal="right"/>
    </xf>
    <xf numFmtId="164" fontId="1" fillId="3" borderId="3" xfId="0" applyNumberFormat="1" applyFont="1" applyFill="1" applyBorder="1" applyAlignment="1" applyProtection="1">
      <alignment horizontal="right"/>
    </xf>
    <xf numFmtId="41" fontId="1" fillId="3" borderId="9" xfId="0" applyNumberFormat="1" applyFont="1" applyFill="1" applyBorder="1" applyAlignment="1" applyProtection="1">
      <alignment horizontal="left"/>
    </xf>
    <xf numFmtId="41" fontId="1" fillId="0" borderId="4" xfId="0" applyNumberFormat="1" applyFont="1" applyBorder="1" applyAlignment="1" applyProtection="1">
      <alignment horizontal="left"/>
    </xf>
    <xf numFmtId="0" fontId="1" fillId="0" borderId="3" xfId="0" applyFont="1" applyFill="1" applyBorder="1" applyProtection="1"/>
    <xf numFmtId="41" fontId="1" fillId="0" borderId="9" xfId="0" applyNumberFormat="1" applyFont="1" applyBorder="1" applyAlignment="1" applyProtection="1">
      <alignment horizontal="left"/>
    </xf>
    <xf numFmtId="41" fontId="1" fillId="0" borderId="0" xfId="0" applyNumberFormat="1" applyFont="1" applyBorder="1" applyAlignment="1" applyProtection="1">
      <alignment horizontal="left"/>
    </xf>
    <xf numFmtId="0" fontId="0" fillId="0" borderId="0" xfId="0" applyBorder="1" applyProtection="1"/>
    <xf numFmtId="0" fontId="3" fillId="3" borderId="14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/>
    </xf>
    <xf numFmtId="1" fontId="3" fillId="3" borderId="13" xfId="0" applyNumberFormat="1" applyFont="1" applyFill="1" applyBorder="1" applyAlignment="1" applyProtection="1">
      <alignment horizontal="right"/>
    </xf>
    <xf numFmtId="0" fontId="14" fillId="0" borderId="0" xfId="0" applyFont="1" applyProtection="1"/>
    <xf numFmtId="0" fontId="0" fillId="0" borderId="0" xfId="0" applyProtection="1"/>
    <xf numFmtId="164" fontId="1" fillId="0" borderId="1" xfId="0" applyNumberFormat="1" applyFont="1" applyBorder="1" applyProtection="1"/>
    <xf numFmtId="164" fontId="1" fillId="0" borderId="4" xfId="0" applyNumberFormat="1" applyFont="1" applyBorder="1" applyProtection="1"/>
    <xf numFmtId="0" fontId="0" fillId="0" borderId="4" xfId="0" applyBorder="1" applyProtection="1"/>
    <xf numFmtId="0" fontId="2" fillId="3" borderId="1" xfId="0" applyFont="1" applyFill="1" applyBorder="1" applyAlignment="1" applyProtection="1">
      <alignment horizontal="left"/>
    </xf>
    <xf numFmtId="41" fontId="3" fillId="3" borderId="12" xfId="0" applyNumberFormat="1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41" fontId="3" fillId="3" borderId="11" xfId="0" applyNumberFormat="1" applyFont="1" applyFill="1" applyBorder="1" applyAlignment="1" applyProtection="1">
      <alignment horizontal="left"/>
    </xf>
    <xf numFmtId="41" fontId="15" fillId="0" borderId="2" xfId="0" applyNumberFormat="1" applyFont="1" applyBorder="1" applyProtection="1"/>
    <xf numFmtId="41" fontId="15" fillId="0" borderId="0" xfId="0" applyNumberFormat="1" applyFont="1" applyBorder="1" applyProtection="1"/>
    <xf numFmtId="0" fontId="0" fillId="0" borderId="0" xfId="0" applyBorder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41" fontId="1" fillId="0" borderId="0" xfId="0" applyNumberFormat="1" applyFont="1" applyFill="1" applyAlignment="1" applyProtection="1">
      <alignment horizontal="left"/>
    </xf>
    <xf numFmtId="41" fontId="1" fillId="0" borderId="0" xfId="0" applyNumberFormat="1" applyFont="1" applyFill="1" applyProtection="1"/>
    <xf numFmtId="0" fontId="0" fillId="0" borderId="0" xfId="0" applyFill="1" applyProtection="1"/>
    <xf numFmtId="0" fontId="1" fillId="0" borderId="0" xfId="0" applyFont="1" applyProtection="1">
      <protection locked="0"/>
    </xf>
    <xf numFmtId="1" fontId="1" fillId="5" borderId="2" xfId="0" applyNumberFormat="1" applyFont="1" applyFill="1" applyBorder="1" applyAlignment="1" applyProtection="1">
      <alignment horizontal="left"/>
      <protection locked="0"/>
    </xf>
    <xf numFmtId="1" fontId="1" fillId="5" borderId="0" xfId="0" applyNumberFormat="1" applyFont="1" applyFill="1" applyBorder="1" applyAlignment="1" applyProtection="1">
      <alignment horizontal="left"/>
      <protection locked="0"/>
    </xf>
    <xf numFmtId="41" fontId="8" fillId="0" borderId="0" xfId="0" applyNumberFormat="1" applyFont="1" applyProtection="1"/>
    <xf numFmtId="0" fontId="8" fillId="0" borderId="0" xfId="0" applyFont="1" applyBorder="1" applyProtection="1"/>
    <xf numFmtId="0" fontId="7" fillId="0" borderId="2" xfId="0" applyFont="1" applyBorder="1" applyAlignment="1" applyProtection="1">
      <alignment horizontal="left"/>
    </xf>
    <xf numFmtId="1" fontId="1" fillId="7" borderId="2" xfId="0" applyNumberFormat="1" applyFont="1" applyFill="1" applyBorder="1" applyProtection="1"/>
    <xf numFmtId="1" fontId="1" fillId="7" borderId="5" xfId="0" applyNumberFormat="1" applyFont="1" applyFill="1" applyBorder="1" applyProtection="1"/>
    <xf numFmtId="0" fontId="1" fillId="0" borderId="0" xfId="0" applyFont="1" applyBorder="1" applyAlignment="1" applyProtection="1">
      <alignment horizontal="center"/>
    </xf>
    <xf numFmtId="41" fontId="3" fillId="3" borderId="1" xfId="0" applyNumberFormat="1" applyFont="1" applyFill="1" applyBorder="1" applyAlignment="1" applyProtection="1"/>
    <xf numFmtId="41" fontId="3" fillId="3" borderId="4" xfId="0" applyNumberFormat="1" applyFont="1" applyFill="1" applyBorder="1" applyAlignment="1" applyProtection="1"/>
    <xf numFmtId="0" fontId="8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41" fontId="4" fillId="3" borderId="0" xfId="0" applyNumberFormat="1" applyFont="1" applyFill="1" applyBorder="1" applyAlignment="1" applyProtection="1">
      <alignment horizontal="right"/>
    </xf>
    <xf numFmtId="41" fontId="4" fillId="3" borderId="3" xfId="0" applyNumberFormat="1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right"/>
      <protection locked="0"/>
    </xf>
    <xf numFmtId="0" fontId="7" fillId="5" borderId="3" xfId="0" applyFont="1" applyFill="1" applyBorder="1" applyAlignment="1" applyProtection="1">
      <alignment horizontal="right"/>
      <protection locked="0"/>
    </xf>
    <xf numFmtId="41" fontId="3" fillId="3" borderId="0" xfId="0" applyNumberFormat="1" applyFont="1" applyFill="1" applyBorder="1" applyAlignment="1" applyProtection="1">
      <alignment horizontal="center"/>
    </xf>
    <xf numFmtId="41" fontId="3" fillId="3" borderId="3" xfId="0" applyNumberFormat="1" applyFont="1" applyFill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1" fontId="3" fillId="3" borderId="4" xfId="0" applyNumberFormat="1" applyFont="1" applyFill="1" applyBorder="1" applyAlignment="1" applyProtection="1">
      <alignment horizontal="center"/>
    </xf>
    <xf numFmtId="41" fontId="7" fillId="0" borderId="0" xfId="0" applyNumberFormat="1" applyFont="1" applyBorder="1" applyAlignment="1" applyProtection="1">
      <alignment horizontal="right"/>
    </xf>
    <xf numFmtId="41" fontId="7" fillId="0" borderId="3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1" fontId="1" fillId="3" borderId="0" xfId="0" applyNumberFormat="1" applyFont="1" applyFill="1" applyBorder="1" applyAlignment="1" applyProtection="1">
      <alignment horizontal="right"/>
    </xf>
    <xf numFmtId="41" fontId="1" fillId="3" borderId="3" xfId="0" applyNumberFormat="1" applyFont="1" applyFill="1" applyBorder="1" applyAlignment="1" applyProtection="1">
      <alignment horizontal="right"/>
    </xf>
    <xf numFmtId="0" fontId="0" fillId="3" borderId="0" xfId="0" applyFill="1" applyBorder="1" applyAlignment="1" applyProtection="1"/>
    <xf numFmtId="41" fontId="2" fillId="3" borderId="1" xfId="0" applyNumberFormat="1" applyFont="1" applyFill="1" applyBorder="1" applyAlignment="1" applyProtection="1">
      <alignment horizontal="left"/>
    </xf>
    <xf numFmtId="41" fontId="2" fillId="3" borderId="2" xfId="0" applyNumberFormat="1" applyFont="1" applyFill="1" applyBorder="1" applyAlignment="1" applyProtection="1">
      <alignment horizontal="left"/>
    </xf>
    <xf numFmtId="41" fontId="2" fillId="3" borderId="12" xfId="0" applyNumberFormat="1" applyFont="1" applyFill="1" applyBorder="1" applyAlignment="1" applyProtection="1">
      <alignment horizontal="left"/>
    </xf>
    <xf numFmtId="41" fontId="2" fillId="3" borderId="4" xfId="0" applyNumberFormat="1" applyFont="1" applyFill="1" applyBorder="1" applyAlignment="1" applyProtection="1">
      <alignment horizontal="left"/>
    </xf>
    <xf numFmtId="41" fontId="2" fillId="3" borderId="0" xfId="0" applyNumberFormat="1" applyFont="1" applyFill="1" applyBorder="1" applyAlignment="1" applyProtection="1">
      <alignment horizontal="left"/>
    </xf>
    <xf numFmtId="41" fontId="2" fillId="3" borderId="3" xfId="0" applyNumberFormat="1" applyFont="1" applyFill="1" applyBorder="1" applyAlignment="1" applyProtection="1">
      <alignment horizontal="left"/>
    </xf>
    <xf numFmtId="41" fontId="1" fillId="3" borderId="9" xfId="0" applyNumberFormat="1" applyFont="1" applyFill="1" applyBorder="1" applyAlignment="1" applyProtection="1">
      <alignment horizontal="left"/>
    </xf>
    <xf numFmtId="41" fontId="1" fillId="3" borderId="10" xfId="0" applyNumberFormat="1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 wrapText="1"/>
    </xf>
    <xf numFmtId="0" fontId="2" fillId="3" borderId="15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41" fontId="3" fillId="3" borderId="1" xfId="0" applyNumberFormat="1" applyFont="1" applyFill="1" applyBorder="1" applyAlignment="1" applyProtection="1">
      <alignment horizontal="center"/>
    </xf>
    <xf numFmtId="41" fontId="3" fillId="3" borderId="2" xfId="0" applyNumberFormat="1" applyFont="1" applyFill="1" applyBorder="1" applyAlignment="1" applyProtection="1">
      <alignment horizontal="center"/>
    </xf>
    <xf numFmtId="41" fontId="3" fillId="3" borderId="12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41" fontId="2" fillId="3" borderId="4" xfId="0" applyNumberFormat="1" applyFont="1" applyFill="1" applyBorder="1" applyAlignment="1" applyProtection="1">
      <alignment horizontal="center"/>
    </xf>
    <xf numFmtId="41" fontId="2" fillId="3" borderId="0" xfId="0" applyNumberFormat="1" applyFont="1" applyFill="1" applyBorder="1" applyAlignment="1" applyProtection="1">
      <alignment horizontal="center"/>
    </xf>
    <xf numFmtId="41" fontId="2" fillId="3" borderId="3" xfId="0" applyNumberFormat="1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41" fontId="7" fillId="0" borderId="2" xfId="0" applyNumberFormat="1" applyFont="1" applyBorder="1" applyAlignment="1" applyProtection="1">
      <alignment horizontal="right"/>
    </xf>
    <xf numFmtId="41" fontId="7" fillId="0" borderId="12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4" fillId="3" borderId="15" xfId="0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right"/>
    </xf>
    <xf numFmtId="164" fontId="12" fillId="8" borderId="2" xfId="0" applyNumberFormat="1" applyFont="1" applyFill="1" applyBorder="1" applyAlignment="1" applyProtection="1">
      <alignment horizontal="center" vertic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8" borderId="10" xfId="0" applyFont="1" applyFill="1" applyBorder="1" applyAlignment="1" applyProtection="1">
      <alignment horizontal="center" vertical="center"/>
    </xf>
  </cellXfs>
  <cellStyles count="8">
    <cellStyle name="Komma" xfId="1" builtinId="3"/>
    <cellStyle name="Komma 2" xfId="4"/>
    <cellStyle name="Prozent" xfId="2" builtinId="5"/>
    <cellStyle name="Prozent 2" xfId="5"/>
    <cellStyle name="Prozent 3" xfId="7"/>
    <cellStyle name="Standard" xfId="0" builtinId="0"/>
    <cellStyle name="Standard 2" xfId="3"/>
    <cellStyle name="Standard 3" xfId="6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1-Fipla\Fipla5_5Jahre_le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F0a Ausgangslage"/>
      <sheetName val="F0b Budgets LR"/>
      <sheetName val="F1 Weiterführung LR"/>
      <sheetName val="F2 Finanzausgleich"/>
      <sheetName val="F3 Änderungen"/>
      <sheetName val="F4 Investitionsrechnung"/>
      <sheetName val="F4a Abschreibung linear"/>
      <sheetName val="F4b Abschreibung Restbuchwert"/>
      <sheetName val="F5a Zinsänderung"/>
      <sheetName val="F5b Abschlussverbuchung"/>
      <sheetName val="F5 Zusammenfassung"/>
      <sheetName val="F6 Kennzahlen"/>
      <sheetName val="F7 Grafiken"/>
      <sheetName val="F7a Grafiken Verordnung"/>
      <sheetName val="F8 Spezialfinanzierungen linear"/>
      <sheetName val="F8X Spezialfinanzierungen Buchw"/>
      <sheetName val="F9 Übersicht"/>
    </sheetNames>
    <sheetDataSet>
      <sheetData sheetId="0" refreshError="1"/>
      <sheetData sheetId="1" refreshError="1">
        <row r="6">
          <cell r="E6" t="str">
            <v>Beispiel</v>
          </cell>
        </row>
        <row r="10">
          <cell r="M10">
            <v>2006</v>
          </cell>
        </row>
        <row r="13">
          <cell r="M13">
            <v>2004</v>
          </cell>
        </row>
        <row r="14">
          <cell r="M14">
            <v>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7" zoomScale="200" zoomScaleNormal="200" workbookViewId="0">
      <selection activeCell="E26" sqref="E26"/>
    </sheetView>
  </sheetViews>
  <sheetFormatPr baseColWidth="10" defaultRowHeight="11.25" x14ac:dyDescent="0.2"/>
  <cols>
    <col min="1" max="1" width="3.5" style="42" customWidth="1"/>
    <col min="2" max="2" width="29.25" style="5" customWidth="1"/>
    <col min="3" max="3" width="7.75" style="8" customWidth="1"/>
    <col min="4" max="4" width="5.875" style="8" customWidth="1"/>
    <col min="5" max="5" width="6.125" style="8" bestFit="1" customWidth="1"/>
    <col min="6" max="8" width="5.625" style="8" customWidth="1"/>
    <col min="9" max="9" width="6.375" style="8" customWidth="1"/>
    <col min="10" max="10" width="5.875" style="8" customWidth="1"/>
    <col min="11" max="16384" width="11" style="5"/>
  </cols>
  <sheetData>
    <row r="1" spans="1:11" x14ac:dyDescent="0.2">
      <c r="A1" s="1"/>
      <c r="B1" s="2"/>
      <c r="C1" s="3"/>
      <c r="D1" s="3"/>
      <c r="E1" s="3"/>
      <c r="F1" s="3"/>
      <c r="G1" s="3"/>
      <c r="H1" s="3"/>
      <c r="I1" s="3"/>
      <c r="J1" s="4"/>
    </row>
    <row r="2" spans="1:11" ht="11.25" customHeight="1" x14ac:dyDescent="0.2">
      <c r="A2" s="354" t="s">
        <v>63</v>
      </c>
      <c r="B2" s="355"/>
      <c r="C2" s="356" t="s">
        <v>168</v>
      </c>
      <c r="D2" s="356"/>
      <c r="E2" s="356"/>
      <c r="F2" s="356"/>
      <c r="G2" s="356"/>
      <c r="H2" s="356"/>
      <c r="I2" s="356"/>
      <c r="J2" s="357"/>
    </row>
    <row r="3" spans="1:11" ht="11.25" customHeight="1" x14ac:dyDescent="0.2">
      <c r="A3" s="354"/>
      <c r="B3" s="355"/>
      <c r="C3" s="356"/>
      <c r="D3" s="356"/>
      <c r="E3" s="356"/>
      <c r="F3" s="356"/>
      <c r="G3" s="356"/>
      <c r="H3" s="356"/>
      <c r="I3" s="356"/>
      <c r="J3" s="357"/>
    </row>
    <row r="4" spans="1:11" ht="11.25" customHeight="1" x14ac:dyDescent="0.25">
      <c r="A4" s="360" t="s">
        <v>61</v>
      </c>
      <c r="B4" s="361"/>
      <c r="C4" s="362">
        <f>D19</f>
        <v>2017</v>
      </c>
      <c r="D4" s="363" t="s">
        <v>62</v>
      </c>
      <c r="E4" s="362">
        <f>H19</f>
        <v>2021</v>
      </c>
      <c r="F4" s="6"/>
      <c r="G4" s="6"/>
      <c r="H4" s="6"/>
      <c r="I4" s="6"/>
      <c r="J4" s="7"/>
    </row>
    <row r="5" spans="1:11" ht="11.25" customHeight="1" x14ac:dyDescent="0.25">
      <c r="A5" s="360"/>
      <c r="B5" s="361"/>
      <c r="C5" s="363"/>
      <c r="D5" s="363"/>
      <c r="E5" s="363"/>
      <c r="F5" s="6"/>
      <c r="G5" s="6"/>
      <c r="H5" s="6"/>
      <c r="I5" s="6"/>
      <c r="J5" s="7"/>
    </row>
    <row r="6" spans="1:11" ht="11.25" customHeight="1" x14ac:dyDescent="0.4">
      <c r="A6" s="364"/>
      <c r="B6" s="365"/>
      <c r="C6" s="365"/>
      <c r="D6" s="365"/>
      <c r="E6" s="365"/>
      <c r="F6" s="365"/>
      <c r="G6" s="365"/>
      <c r="H6" s="365"/>
      <c r="I6" s="365"/>
      <c r="J6" s="366"/>
    </row>
    <row r="8" spans="1:11" x14ac:dyDescent="0.2">
      <c r="A8" s="1"/>
      <c r="B8" s="2"/>
      <c r="C8" s="3"/>
      <c r="D8" s="3"/>
      <c r="E8" s="3"/>
      <c r="F8" s="3"/>
      <c r="G8" s="3"/>
      <c r="H8" s="3"/>
      <c r="I8" s="3"/>
      <c r="J8" s="4"/>
      <c r="K8" s="8"/>
    </row>
    <row r="9" spans="1:11" x14ac:dyDescent="0.2">
      <c r="A9" s="9" t="s">
        <v>35</v>
      </c>
      <c r="B9" s="10"/>
      <c r="C9" s="11"/>
      <c r="D9" s="11"/>
      <c r="E9" s="12" t="s">
        <v>67</v>
      </c>
      <c r="F9" s="11"/>
      <c r="G9" s="11"/>
      <c r="H9" s="80" t="s">
        <v>170</v>
      </c>
      <c r="I9" s="12" t="s">
        <v>64</v>
      </c>
      <c r="J9" s="13"/>
      <c r="K9" s="8"/>
    </row>
    <row r="10" spans="1:11" x14ac:dyDescent="0.2">
      <c r="A10" s="369" t="str">
        <f>IF(H9="ja","letzte Rechnung","")</f>
        <v/>
      </c>
      <c r="B10" s="370"/>
      <c r="C10" s="14" t="str">
        <f>IF(H9="ja",C13-3,"")</f>
        <v/>
      </c>
      <c r="D10" s="11"/>
      <c r="E10" s="11"/>
      <c r="F10" s="11"/>
      <c r="G10" s="11"/>
      <c r="H10" s="11"/>
      <c r="I10" s="11"/>
      <c r="J10" s="13"/>
      <c r="K10" s="8"/>
    </row>
    <row r="11" spans="1:11" x14ac:dyDescent="0.2">
      <c r="A11" s="367" t="str">
        <f>IF(H9="Ja","Vorjahresbudget","letzte Rechnung")</f>
        <v>letzte Rechnung</v>
      </c>
      <c r="B11" s="368"/>
      <c r="C11" s="14">
        <f>C13-2</f>
        <v>2016</v>
      </c>
      <c r="D11" s="10"/>
      <c r="E11" s="11"/>
      <c r="F11" s="11"/>
      <c r="G11" s="11"/>
      <c r="H11" s="11"/>
      <c r="I11" s="11"/>
      <c r="J11" s="13"/>
      <c r="K11" s="8"/>
    </row>
    <row r="12" spans="1:11" x14ac:dyDescent="0.2">
      <c r="A12" s="367" t="s">
        <v>68</v>
      </c>
      <c r="B12" s="368"/>
      <c r="C12" s="14">
        <f>C13-1</f>
        <v>2017</v>
      </c>
      <c r="D12" s="11"/>
      <c r="E12" s="11"/>
      <c r="F12" s="11"/>
      <c r="G12" s="11"/>
      <c r="H12" s="11"/>
      <c r="I12" s="11"/>
      <c r="J12" s="13"/>
      <c r="K12" s="8"/>
    </row>
    <row r="13" spans="1:11" x14ac:dyDescent="0.2">
      <c r="A13" s="63" t="s">
        <v>36</v>
      </c>
      <c r="B13" s="79"/>
      <c r="C13" s="81">
        <v>2018</v>
      </c>
      <c r="D13" s="11"/>
      <c r="E13" s="11"/>
      <c r="F13" s="11"/>
      <c r="G13" s="11"/>
      <c r="H13" s="11"/>
      <c r="I13" s="11"/>
      <c r="J13" s="13"/>
      <c r="K13" s="8"/>
    </row>
    <row r="14" spans="1:11" x14ac:dyDescent="0.2">
      <c r="A14" s="15"/>
      <c r="B14" s="16"/>
      <c r="C14" s="17"/>
      <c r="D14" s="17"/>
      <c r="E14" s="17"/>
      <c r="F14" s="17"/>
      <c r="G14" s="17"/>
      <c r="H14" s="17"/>
      <c r="I14" s="17"/>
      <c r="J14" s="18"/>
      <c r="K14" s="8"/>
    </row>
    <row r="17" spans="1:11" ht="14.25" customHeight="1" x14ac:dyDescent="0.2">
      <c r="A17" s="19"/>
      <c r="B17" s="20"/>
      <c r="C17" s="343" t="str">
        <f>IF(H9="nein", "Rechnung","Budget")</f>
        <v>Rechnung</v>
      </c>
      <c r="D17" s="21"/>
      <c r="E17" s="22"/>
      <c r="F17" s="22"/>
      <c r="G17" s="22"/>
      <c r="H17" s="21"/>
      <c r="I17" s="23"/>
      <c r="J17" s="21"/>
    </row>
    <row r="18" spans="1:11" s="25" customFormat="1" x14ac:dyDescent="0.2">
      <c r="A18" s="348" t="s">
        <v>31</v>
      </c>
      <c r="B18" s="349"/>
      <c r="C18" s="344"/>
      <c r="D18" s="24" t="s">
        <v>0</v>
      </c>
      <c r="E18" s="358" t="s">
        <v>26</v>
      </c>
      <c r="F18" s="358"/>
      <c r="G18" s="358"/>
      <c r="H18" s="359"/>
      <c r="I18" s="371" t="s">
        <v>66</v>
      </c>
      <c r="J18" s="359"/>
    </row>
    <row r="19" spans="1:11" x14ac:dyDescent="0.2">
      <c r="A19" s="26"/>
      <c r="B19" s="27"/>
      <c r="C19" s="28">
        <f>C11</f>
        <v>2016</v>
      </c>
      <c r="D19" s="29">
        <f>C12</f>
        <v>2017</v>
      </c>
      <c r="E19" s="30">
        <f>C13</f>
        <v>2018</v>
      </c>
      <c r="F19" s="30">
        <f>SUM(E19+1)</f>
        <v>2019</v>
      </c>
      <c r="G19" s="30">
        <f>SUM(F19+1)</f>
        <v>2020</v>
      </c>
      <c r="H19" s="29">
        <f>SUM(G19+1)</f>
        <v>2021</v>
      </c>
      <c r="I19" s="28">
        <f t="shared" ref="I19:J19" si="0">SUM(H19+1)</f>
        <v>2022</v>
      </c>
      <c r="J19" s="29">
        <f t="shared" si="0"/>
        <v>2023</v>
      </c>
    </row>
    <row r="20" spans="1:11" x14ac:dyDescent="0.2">
      <c r="A20" s="31"/>
      <c r="B20" s="32"/>
      <c r="C20" s="33"/>
      <c r="D20" s="34"/>
      <c r="E20" s="35"/>
      <c r="F20" s="35"/>
      <c r="G20" s="35"/>
      <c r="H20" s="34"/>
      <c r="I20" s="33"/>
      <c r="J20" s="34"/>
    </row>
    <row r="21" spans="1:11" x14ac:dyDescent="0.2">
      <c r="A21" s="36"/>
      <c r="B21" s="10"/>
      <c r="C21" s="37"/>
      <c r="D21" s="13"/>
      <c r="E21" s="11"/>
      <c r="F21" s="11"/>
      <c r="G21" s="11"/>
      <c r="H21" s="13"/>
      <c r="I21" s="37"/>
      <c r="J21" s="4"/>
    </row>
    <row r="22" spans="1:11" x14ac:dyDescent="0.2">
      <c r="A22" s="36" t="s">
        <v>32</v>
      </c>
      <c r="B22" s="10"/>
      <c r="C22" s="38"/>
      <c r="D22" s="39"/>
      <c r="E22" s="83">
        <v>5.0000000000000001E-3</v>
      </c>
      <c r="F22" s="83">
        <v>1.4999999999999999E-2</v>
      </c>
      <c r="G22" s="83">
        <v>5.0000000000000001E-3</v>
      </c>
      <c r="H22" s="84">
        <v>1.4999999999999999E-2</v>
      </c>
      <c r="I22" s="85">
        <v>0.01</v>
      </c>
      <c r="J22" s="84">
        <v>1.4999999999999999E-2</v>
      </c>
    </row>
    <row r="23" spans="1:11" x14ac:dyDescent="0.2">
      <c r="A23" s="40" t="s">
        <v>78</v>
      </c>
      <c r="B23" s="10"/>
      <c r="C23" s="38"/>
      <c r="D23" s="39"/>
      <c r="E23" s="83">
        <v>0.01</v>
      </c>
      <c r="F23" s="83">
        <v>0.01</v>
      </c>
      <c r="G23" s="83">
        <v>0.01</v>
      </c>
      <c r="H23" s="84">
        <v>0.01</v>
      </c>
      <c r="I23" s="85">
        <v>0.01</v>
      </c>
      <c r="J23" s="84">
        <v>0.01</v>
      </c>
      <c r="K23" s="10"/>
    </row>
    <row r="24" spans="1:11" x14ac:dyDescent="0.2">
      <c r="A24" s="36" t="s">
        <v>126</v>
      </c>
      <c r="B24" s="10"/>
      <c r="C24" s="38"/>
      <c r="D24" s="39"/>
      <c r="E24" s="83">
        <v>0.01</v>
      </c>
      <c r="F24" s="83">
        <v>0.01</v>
      </c>
      <c r="G24" s="83">
        <v>0.01</v>
      </c>
      <c r="H24" s="84">
        <v>0.01</v>
      </c>
      <c r="I24" s="85">
        <v>0.01</v>
      </c>
      <c r="J24" s="84">
        <v>0.01</v>
      </c>
    </row>
    <row r="25" spans="1:11" x14ac:dyDescent="0.2">
      <c r="A25" s="36" t="s">
        <v>33</v>
      </c>
      <c r="B25" s="10"/>
      <c r="C25" s="38"/>
      <c r="D25" s="39"/>
      <c r="E25" s="83">
        <v>1.4999999999999999E-2</v>
      </c>
      <c r="F25" s="83">
        <v>1.4999999999999999E-2</v>
      </c>
      <c r="G25" s="83">
        <v>0.01</v>
      </c>
      <c r="H25" s="84">
        <v>1.4999999999999999E-2</v>
      </c>
      <c r="I25" s="85">
        <v>0.01</v>
      </c>
      <c r="J25" s="84">
        <v>1.4999999999999999E-2</v>
      </c>
    </row>
    <row r="26" spans="1:11" x14ac:dyDescent="0.2">
      <c r="A26" s="36" t="s">
        <v>34</v>
      </c>
      <c r="B26" s="10"/>
      <c r="C26" s="38"/>
      <c r="D26" s="82">
        <v>0.01</v>
      </c>
      <c r="E26" s="83">
        <v>1.4999999999999999E-2</v>
      </c>
      <c r="F26" s="83">
        <v>1.6E-2</v>
      </c>
      <c r="G26" s="83">
        <v>1.7999999999999999E-2</v>
      </c>
      <c r="H26" s="84">
        <v>0.02</v>
      </c>
      <c r="I26" s="85">
        <v>0.02</v>
      </c>
      <c r="J26" s="84">
        <v>2.5000000000000001E-2</v>
      </c>
    </row>
    <row r="27" spans="1:11" x14ac:dyDescent="0.2">
      <c r="A27" s="36"/>
      <c r="B27" s="10"/>
      <c r="C27" s="37"/>
      <c r="D27" s="13"/>
      <c r="E27" s="11"/>
      <c r="F27" s="11"/>
      <c r="G27" s="11"/>
      <c r="H27" s="13"/>
      <c r="I27" s="37"/>
      <c r="J27" s="13"/>
    </row>
    <row r="28" spans="1:11" x14ac:dyDescent="0.2">
      <c r="A28" s="36"/>
      <c r="B28" s="10"/>
      <c r="C28" s="37"/>
      <c r="D28" s="13"/>
      <c r="E28" s="11"/>
      <c r="F28" s="11"/>
      <c r="G28" s="11"/>
      <c r="H28" s="13"/>
      <c r="I28" s="37"/>
      <c r="J28" s="13"/>
    </row>
    <row r="29" spans="1:11" x14ac:dyDescent="0.2">
      <c r="A29" s="36"/>
      <c r="B29" s="10"/>
      <c r="C29" s="37"/>
      <c r="D29" s="13"/>
      <c r="E29" s="11"/>
      <c r="F29" s="11"/>
      <c r="G29" s="11"/>
      <c r="H29" s="13"/>
      <c r="I29" s="37"/>
      <c r="J29" s="13"/>
    </row>
    <row r="30" spans="1:11" x14ac:dyDescent="0.2">
      <c r="A30" s="36"/>
      <c r="B30" s="10"/>
      <c r="C30" s="37"/>
      <c r="D30" s="13"/>
      <c r="E30" s="11"/>
      <c r="F30" s="11"/>
      <c r="G30" s="11"/>
      <c r="H30" s="13"/>
      <c r="I30" s="37"/>
      <c r="J30" s="13"/>
    </row>
    <row r="31" spans="1:11" x14ac:dyDescent="0.2">
      <c r="A31" s="36"/>
      <c r="B31" s="10"/>
      <c r="C31" s="37"/>
      <c r="D31" s="13"/>
      <c r="E31" s="11"/>
      <c r="F31" s="11"/>
      <c r="G31" s="11"/>
      <c r="H31" s="13"/>
      <c r="I31" s="37"/>
      <c r="J31" s="13"/>
    </row>
    <row r="32" spans="1:11" x14ac:dyDescent="0.2">
      <c r="A32" s="36"/>
      <c r="B32" s="10"/>
      <c r="C32" s="37"/>
      <c r="D32" s="13"/>
      <c r="E32" s="11"/>
      <c r="F32" s="11"/>
      <c r="G32" s="11"/>
      <c r="H32" s="13"/>
      <c r="I32" s="37"/>
      <c r="J32" s="13"/>
    </row>
    <row r="33" spans="1:10" x14ac:dyDescent="0.2">
      <c r="A33" s="36"/>
      <c r="B33" s="10"/>
      <c r="C33" s="37"/>
      <c r="D33" s="13"/>
      <c r="E33" s="11"/>
      <c r="F33" s="11"/>
      <c r="G33" s="11"/>
      <c r="H33" s="13"/>
      <c r="I33" s="37"/>
      <c r="J33" s="13"/>
    </row>
    <row r="34" spans="1:10" x14ac:dyDescent="0.2">
      <c r="A34" s="15"/>
      <c r="B34" s="16"/>
      <c r="C34" s="41"/>
      <c r="D34" s="18"/>
      <c r="E34" s="17"/>
      <c r="F34" s="17"/>
      <c r="G34" s="17"/>
      <c r="H34" s="18"/>
      <c r="I34" s="41"/>
      <c r="J34" s="18"/>
    </row>
    <row r="36" spans="1:10" ht="10.5" customHeight="1" x14ac:dyDescent="0.2"/>
    <row r="37" spans="1:10" x14ac:dyDescent="0.2">
      <c r="A37" s="43"/>
      <c r="B37" s="44"/>
      <c r="C37" s="45"/>
      <c r="D37" s="45"/>
      <c r="E37" s="45"/>
      <c r="F37" s="45"/>
      <c r="G37" s="45"/>
      <c r="H37" s="45"/>
      <c r="I37" s="45"/>
      <c r="J37" s="46"/>
    </row>
    <row r="38" spans="1:10" x14ac:dyDescent="0.2">
      <c r="A38" s="47" t="s">
        <v>69</v>
      </c>
      <c r="B38" s="48"/>
      <c r="C38" s="49">
        <f>IF(H9="ja",C10,C11)</f>
        <v>2016</v>
      </c>
      <c r="D38" s="50" t="str">
        <f>IF(H9="nein","(vor Abschlussverbuchung)",IF(H9="ja","(nach Abschlussverbuchung)",""))</f>
        <v>(vor Abschlussverbuchung)</v>
      </c>
      <c r="E38" s="51"/>
      <c r="F38" s="51"/>
      <c r="G38" s="51"/>
      <c r="H38" s="51"/>
      <c r="I38" s="350" t="s">
        <v>85</v>
      </c>
      <c r="J38" s="351"/>
    </row>
    <row r="39" spans="1:10" x14ac:dyDescent="0.2">
      <c r="A39" s="52"/>
      <c r="B39" s="53"/>
      <c r="C39" s="54"/>
      <c r="D39" s="55"/>
      <c r="E39" s="55"/>
      <c r="F39" s="55"/>
      <c r="G39" s="55"/>
      <c r="H39" s="55"/>
      <c r="I39" s="55"/>
      <c r="J39" s="56"/>
    </row>
    <row r="40" spans="1:10" x14ac:dyDescent="0.2">
      <c r="A40" s="36"/>
      <c r="B40" s="10"/>
      <c r="C40" s="11"/>
      <c r="D40" s="11"/>
      <c r="E40" s="11"/>
      <c r="F40" s="11"/>
      <c r="G40" s="11"/>
      <c r="H40" s="11"/>
      <c r="I40" s="11"/>
      <c r="J40" s="13"/>
    </row>
    <row r="41" spans="1:10" x14ac:dyDescent="0.2">
      <c r="A41" s="57">
        <v>1</v>
      </c>
      <c r="B41" s="58" t="s">
        <v>40</v>
      </c>
      <c r="C41" s="59">
        <f>C43+C44+C49+C50</f>
        <v>1750</v>
      </c>
      <c r="D41" s="11"/>
      <c r="E41" s="60">
        <v>2</v>
      </c>
      <c r="F41" s="58" t="s">
        <v>48</v>
      </c>
      <c r="G41" s="11"/>
      <c r="H41" s="11"/>
      <c r="I41" s="11"/>
      <c r="J41" s="59">
        <f>J43+J50+J54</f>
        <v>1750</v>
      </c>
    </row>
    <row r="42" spans="1:10" x14ac:dyDescent="0.2">
      <c r="A42" s="61"/>
      <c r="B42" s="10"/>
      <c r="C42" s="11"/>
      <c r="D42" s="11"/>
      <c r="E42" s="342"/>
      <c r="F42" s="342"/>
      <c r="G42" s="342"/>
      <c r="H42" s="342"/>
      <c r="I42" s="342"/>
      <c r="J42" s="13"/>
    </row>
    <row r="43" spans="1:10" x14ac:dyDescent="0.2">
      <c r="A43" s="57">
        <v>10</v>
      </c>
      <c r="B43" s="58" t="s">
        <v>7</v>
      </c>
      <c r="C43" s="86">
        <v>1350</v>
      </c>
      <c r="D43" s="11"/>
      <c r="E43" s="60">
        <v>20</v>
      </c>
      <c r="F43" s="58" t="s">
        <v>42</v>
      </c>
      <c r="G43" s="11"/>
      <c r="H43" s="11"/>
      <c r="I43" s="11"/>
      <c r="J43" s="62">
        <f>J44+J45+J46+J47+J48+J49</f>
        <v>1430</v>
      </c>
    </row>
    <row r="44" spans="1:10" x14ac:dyDescent="0.2">
      <c r="A44" s="57">
        <v>11</v>
      </c>
      <c r="B44" s="58" t="s">
        <v>41</v>
      </c>
      <c r="C44" s="63">
        <f>C45+C46+C47+C48</f>
        <v>400</v>
      </c>
      <c r="D44" s="11"/>
      <c r="E44" s="64">
        <v>200</v>
      </c>
      <c r="F44" s="65" t="s">
        <v>49</v>
      </c>
      <c r="G44" s="12"/>
      <c r="H44" s="12"/>
      <c r="I44" s="12"/>
      <c r="J44" s="87">
        <v>200</v>
      </c>
    </row>
    <row r="45" spans="1:10" x14ac:dyDescent="0.2">
      <c r="A45" s="40">
        <v>114</v>
      </c>
      <c r="B45" s="65" t="s">
        <v>43</v>
      </c>
      <c r="C45" s="87">
        <v>250</v>
      </c>
      <c r="D45" s="11"/>
      <c r="E45" s="64">
        <v>201</v>
      </c>
      <c r="F45" s="65" t="s">
        <v>50</v>
      </c>
      <c r="G45" s="12"/>
      <c r="H45" s="12"/>
      <c r="I45" s="12"/>
      <c r="J45" s="87">
        <v>300</v>
      </c>
    </row>
    <row r="46" spans="1:10" x14ac:dyDescent="0.2">
      <c r="A46" s="40">
        <v>115</v>
      </c>
      <c r="B46" s="65" t="s">
        <v>44</v>
      </c>
      <c r="C46" s="87">
        <v>100</v>
      </c>
      <c r="D46" s="11"/>
      <c r="E46" s="64">
        <v>202</v>
      </c>
      <c r="F46" s="65" t="s">
        <v>51</v>
      </c>
      <c r="G46" s="12"/>
      <c r="H46" s="12"/>
      <c r="I46" s="12"/>
      <c r="J46" s="87">
        <v>800</v>
      </c>
    </row>
    <row r="47" spans="1:10" x14ac:dyDescent="0.2">
      <c r="A47" s="36">
        <v>116</v>
      </c>
      <c r="B47" s="10" t="s">
        <v>45</v>
      </c>
      <c r="C47" s="87">
        <v>50</v>
      </c>
      <c r="D47" s="11"/>
      <c r="E47" s="64">
        <v>203</v>
      </c>
      <c r="F47" s="65" t="s">
        <v>52</v>
      </c>
      <c r="G47" s="12"/>
      <c r="H47" s="12"/>
      <c r="I47" s="12"/>
      <c r="J47" s="87">
        <v>0</v>
      </c>
    </row>
    <row r="48" spans="1:10" x14ac:dyDescent="0.2">
      <c r="A48" s="36">
        <v>117</v>
      </c>
      <c r="B48" s="10" t="s">
        <v>46</v>
      </c>
      <c r="C48" s="87">
        <v>0</v>
      </c>
      <c r="D48" s="11"/>
      <c r="E48" s="64">
        <v>204</v>
      </c>
      <c r="F48" s="12" t="s">
        <v>70</v>
      </c>
      <c r="G48" s="11"/>
      <c r="H48" s="11"/>
      <c r="I48" s="11"/>
      <c r="J48" s="87">
        <v>80</v>
      </c>
    </row>
    <row r="49" spans="1:10" x14ac:dyDescent="0.2">
      <c r="A49" s="9">
        <v>12</v>
      </c>
      <c r="B49" s="66" t="s">
        <v>47</v>
      </c>
      <c r="C49" s="87">
        <v>0</v>
      </c>
      <c r="D49" s="11"/>
      <c r="E49" s="64">
        <v>205</v>
      </c>
      <c r="F49" s="65" t="s">
        <v>53</v>
      </c>
      <c r="G49" s="12"/>
      <c r="H49" s="12"/>
      <c r="I49" s="12"/>
      <c r="J49" s="87">
        <v>50</v>
      </c>
    </row>
    <row r="50" spans="1:10" x14ac:dyDescent="0.2">
      <c r="A50" s="9">
        <v>13</v>
      </c>
      <c r="B50" s="58" t="s">
        <v>8</v>
      </c>
      <c r="C50" s="88">
        <v>0</v>
      </c>
      <c r="D50" s="11"/>
      <c r="E50" s="67">
        <v>22</v>
      </c>
      <c r="F50" s="66" t="s">
        <v>54</v>
      </c>
      <c r="G50" s="68"/>
      <c r="H50" s="68"/>
      <c r="I50" s="68"/>
      <c r="J50" s="63">
        <f>J51+J52+J53</f>
        <v>90</v>
      </c>
    </row>
    <row r="51" spans="1:10" x14ac:dyDescent="0.2">
      <c r="A51" s="57"/>
      <c r="B51" s="10"/>
      <c r="C51" s="11"/>
      <c r="D51" s="11"/>
      <c r="E51" s="69">
        <v>2280</v>
      </c>
      <c r="F51" s="10" t="s">
        <v>55</v>
      </c>
      <c r="G51" s="11"/>
      <c r="H51" s="11"/>
      <c r="I51" s="11"/>
      <c r="J51" s="87">
        <v>0</v>
      </c>
    </row>
    <row r="52" spans="1:10" x14ac:dyDescent="0.2">
      <c r="A52" s="57"/>
      <c r="B52" s="10"/>
      <c r="C52" s="11"/>
      <c r="D52" s="11"/>
      <c r="E52" s="64">
        <v>2282</v>
      </c>
      <c r="F52" s="65" t="s">
        <v>56</v>
      </c>
      <c r="G52" s="12"/>
      <c r="H52" s="12"/>
      <c r="I52" s="12"/>
      <c r="J52" s="89">
        <v>90</v>
      </c>
    </row>
    <row r="53" spans="1:10" x14ac:dyDescent="0.2">
      <c r="A53" s="57"/>
      <c r="B53" s="10"/>
      <c r="C53" s="11"/>
      <c r="D53" s="11"/>
      <c r="E53" s="64">
        <v>2285</v>
      </c>
      <c r="F53" s="65" t="s">
        <v>57</v>
      </c>
      <c r="G53" s="12"/>
      <c r="H53" s="12"/>
      <c r="I53" s="12"/>
      <c r="J53" s="89">
        <v>0</v>
      </c>
    </row>
    <row r="54" spans="1:10" x14ac:dyDescent="0.2">
      <c r="A54" s="57"/>
      <c r="B54" s="10"/>
      <c r="C54" s="11"/>
      <c r="D54" s="11"/>
      <c r="E54" s="60">
        <v>23</v>
      </c>
      <c r="F54" s="58" t="s">
        <v>58</v>
      </c>
      <c r="G54" s="11"/>
      <c r="H54" s="11"/>
      <c r="I54" s="11"/>
      <c r="J54" s="87">
        <v>230</v>
      </c>
    </row>
    <row r="55" spans="1:10" ht="15" x14ac:dyDescent="0.2">
      <c r="A55" s="345" t="str">
        <f>IF(ROUND((C41-J41),0)=0,"","Achtung! Keine ausgeglichene Bilanz!")</f>
        <v/>
      </c>
      <c r="B55" s="346"/>
      <c r="C55" s="346"/>
      <c r="D55" s="11"/>
      <c r="E55" s="11"/>
      <c r="F55" s="11"/>
      <c r="G55" s="11"/>
      <c r="H55" s="11"/>
      <c r="I55" s="11"/>
      <c r="J55" s="4"/>
    </row>
    <row r="56" spans="1:10" x14ac:dyDescent="0.2">
      <c r="A56" s="15"/>
      <c r="B56" s="16"/>
      <c r="C56" s="17"/>
      <c r="D56" s="17"/>
      <c r="E56" s="17"/>
      <c r="F56" s="17"/>
      <c r="G56" s="17"/>
      <c r="H56" s="17"/>
      <c r="I56" s="17"/>
      <c r="J56" s="18"/>
    </row>
    <row r="58" spans="1:10" x14ac:dyDescent="0.2">
      <c r="A58" s="43"/>
      <c r="B58" s="44"/>
      <c r="C58" s="45"/>
      <c r="D58" s="44"/>
      <c r="E58" s="70"/>
      <c r="F58" s="44"/>
      <c r="G58" s="45"/>
      <c r="H58" s="45"/>
      <c r="I58" s="45"/>
      <c r="J58" s="46"/>
    </row>
    <row r="59" spans="1:10" x14ac:dyDescent="0.2">
      <c r="A59" s="348" t="str">
        <f>IF(H9="nein", "Investitionsrechnung","Budget Investitionsrechnung")</f>
        <v>Investitionsrechnung</v>
      </c>
      <c r="B59" s="349"/>
      <c r="C59" s="49">
        <f>C38</f>
        <v>2016</v>
      </c>
      <c r="D59" s="71"/>
      <c r="E59" s="71"/>
      <c r="F59" s="71"/>
      <c r="G59" s="71"/>
      <c r="H59" s="71"/>
      <c r="I59" s="352" t="s">
        <v>85</v>
      </c>
      <c r="J59" s="353"/>
    </row>
    <row r="60" spans="1:10" x14ac:dyDescent="0.2">
      <c r="A60" s="52"/>
      <c r="B60" s="53"/>
      <c r="C60" s="55"/>
      <c r="D60" s="53"/>
      <c r="E60" s="72"/>
      <c r="F60" s="53"/>
      <c r="G60" s="55"/>
      <c r="H60" s="55"/>
      <c r="I60" s="55"/>
      <c r="J60" s="56"/>
    </row>
    <row r="61" spans="1:10" x14ac:dyDescent="0.2">
      <c r="A61" s="36"/>
      <c r="B61" s="10"/>
      <c r="C61" s="11"/>
      <c r="D61" s="10"/>
      <c r="E61" s="69"/>
      <c r="F61" s="10"/>
      <c r="G61" s="11"/>
      <c r="H61" s="10"/>
      <c r="I61" s="10"/>
      <c r="J61" s="73"/>
    </row>
    <row r="62" spans="1:10" x14ac:dyDescent="0.2">
      <c r="A62" s="57">
        <v>5</v>
      </c>
      <c r="B62" s="66" t="s">
        <v>71</v>
      </c>
      <c r="C62" s="90">
        <v>1000</v>
      </c>
      <c r="D62" s="58"/>
      <c r="E62" s="60">
        <v>6</v>
      </c>
      <c r="F62" s="66" t="s">
        <v>72</v>
      </c>
      <c r="G62" s="10"/>
      <c r="H62" s="10"/>
      <c r="I62" s="10"/>
      <c r="J62" s="90">
        <v>200</v>
      </c>
    </row>
    <row r="63" spans="1:10" x14ac:dyDescent="0.2">
      <c r="A63" s="57"/>
      <c r="B63" s="58"/>
      <c r="C63" s="11"/>
      <c r="D63" s="10"/>
      <c r="E63" s="69"/>
      <c r="F63" s="66" t="s">
        <v>60</v>
      </c>
      <c r="G63" s="10"/>
      <c r="H63" s="10"/>
      <c r="I63" s="10"/>
      <c r="J63" s="74">
        <f>SUM(C62-J62)</f>
        <v>800</v>
      </c>
    </row>
    <row r="64" spans="1:10" x14ac:dyDescent="0.2">
      <c r="A64" s="75"/>
      <c r="B64" s="76"/>
      <c r="C64" s="17"/>
      <c r="D64" s="16"/>
      <c r="E64" s="77"/>
      <c r="F64" s="16"/>
      <c r="G64" s="17"/>
      <c r="H64" s="16"/>
      <c r="I64" s="16"/>
      <c r="J64" s="78"/>
    </row>
    <row r="66" spans="1:10" ht="11.25" customHeight="1" x14ac:dyDescent="0.2">
      <c r="A66" s="347" t="s">
        <v>65</v>
      </c>
      <c r="B66" s="347"/>
      <c r="C66" s="347"/>
      <c r="D66" s="347"/>
      <c r="E66" s="347"/>
      <c r="F66" s="347"/>
      <c r="G66" s="347"/>
      <c r="H66" s="347"/>
      <c r="I66" s="347"/>
      <c r="J66" s="347"/>
    </row>
    <row r="67" spans="1:10" x14ac:dyDescent="0.2">
      <c r="A67" s="347"/>
      <c r="B67" s="347"/>
      <c r="C67" s="347"/>
      <c r="D67" s="347"/>
      <c r="E67" s="347"/>
      <c r="F67" s="347"/>
      <c r="G67" s="347"/>
      <c r="H67" s="347"/>
      <c r="I67" s="347"/>
      <c r="J67" s="347"/>
    </row>
  </sheetData>
  <sheetProtection password="CF85" sheet="1" objects="1" scenarios="1"/>
  <mergeCells count="21">
    <mergeCell ref="A2:B3"/>
    <mergeCell ref="C2:J3"/>
    <mergeCell ref="A18:B18"/>
    <mergeCell ref="E18:H18"/>
    <mergeCell ref="A4:B5"/>
    <mergeCell ref="C4:C5"/>
    <mergeCell ref="D4:D5"/>
    <mergeCell ref="E4:E5"/>
    <mergeCell ref="A6:B6"/>
    <mergeCell ref="C6:J6"/>
    <mergeCell ref="A12:B12"/>
    <mergeCell ref="A11:B11"/>
    <mergeCell ref="A10:B10"/>
    <mergeCell ref="I18:J18"/>
    <mergeCell ref="E42:I42"/>
    <mergeCell ref="C17:C18"/>
    <mergeCell ref="A55:C55"/>
    <mergeCell ref="A66:J67"/>
    <mergeCell ref="A59:B59"/>
    <mergeCell ref="I38:J38"/>
    <mergeCell ref="I59:J5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28" zoomScale="150" zoomScaleNormal="150" workbookViewId="0">
      <selection activeCell="C48" sqref="C48"/>
    </sheetView>
  </sheetViews>
  <sheetFormatPr baseColWidth="10" defaultRowHeight="11.25" x14ac:dyDescent="0.2"/>
  <cols>
    <col min="1" max="1" width="5.5" style="42" customWidth="1"/>
    <col min="2" max="2" width="25.625" style="5" customWidth="1"/>
    <col min="3" max="3" width="7.75" style="8" customWidth="1"/>
    <col min="4" max="4" width="4" style="5" bestFit="1" customWidth="1"/>
    <col min="5" max="5" width="5.625" style="42" customWidth="1"/>
    <col min="6" max="6" width="26.5" style="5" customWidth="1"/>
    <col min="7" max="7" width="7.625" style="8" customWidth="1"/>
    <col min="8" max="16384" width="11" style="5"/>
  </cols>
  <sheetData>
    <row r="1" spans="1:8" x14ac:dyDescent="0.2">
      <c r="A1" s="1"/>
      <c r="B1" s="2"/>
      <c r="C1" s="3"/>
      <c r="D1" s="2"/>
      <c r="E1" s="91"/>
      <c r="F1" s="2"/>
      <c r="G1" s="4"/>
    </row>
    <row r="2" spans="1:8" ht="14.25" customHeight="1" x14ac:dyDescent="0.2">
      <c r="A2" s="354" t="str">
        <f>Ausgangsdaten!A2</f>
        <v xml:space="preserve">Korporation </v>
      </c>
      <c r="B2" s="355"/>
      <c r="C2" s="372" t="str">
        <f>Ausgangsdaten!C2</f>
        <v>Muster</v>
      </c>
      <c r="D2" s="372"/>
      <c r="E2" s="372"/>
      <c r="F2" s="372"/>
      <c r="G2" s="373"/>
    </row>
    <row r="3" spans="1:8" ht="11.25" customHeight="1" x14ac:dyDescent="0.2">
      <c r="A3" s="354"/>
      <c r="B3" s="355"/>
      <c r="C3" s="372"/>
      <c r="D3" s="372"/>
      <c r="E3" s="372"/>
      <c r="F3" s="372"/>
      <c r="G3" s="373"/>
    </row>
    <row r="4" spans="1:8" ht="11.25" customHeight="1" x14ac:dyDescent="0.25">
      <c r="A4" s="374" t="str">
        <f>Ausgangsdaten!A4</f>
        <v>Finanzplan</v>
      </c>
      <c r="B4" s="375"/>
      <c r="C4" s="362">
        <f>Ausgangsdaten!C4</f>
        <v>2017</v>
      </c>
      <c r="D4" s="363" t="s">
        <v>62</v>
      </c>
      <c r="E4" s="362">
        <f>Ausgangsdaten!E4</f>
        <v>2021</v>
      </c>
      <c r="F4" s="6"/>
      <c r="G4" s="7"/>
    </row>
    <row r="5" spans="1:8" ht="11.25" customHeight="1" x14ac:dyDescent="0.25">
      <c r="A5" s="374"/>
      <c r="B5" s="375"/>
      <c r="C5" s="362"/>
      <c r="D5" s="363"/>
      <c r="E5" s="362"/>
      <c r="F5" s="6"/>
      <c r="G5" s="7"/>
    </row>
    <row r="6" spans="1:8" x14ac:dyDescent="0.2">
      <c r="A6" s="15"/>
      <c r="B6" s="16"/>
      <c r="C6" s="17"/>
      <c r="D6" s="16"/>
      <c r="E6" s="77"/>
      <c r="F6" s="16"/>
      <c r="G6" s="18"/>
    </row>
    <row r="8" spans="1:8" x14ac:dyDescent="0.2">
      <c r="A8" s="43"/>
      <c r="B8" s="44"/>
      <c r="C8" s="45"/>
      <c r="D8" s="44"/>
      <c r="E8" s="70"/>
      <c r="F8" s="44"/>
      <c r="G8" s="46"/>
    </row>
    <row r="9" spans="1:8" x14ac:dyDescent="0.2">
      <c r="A9" s="92" t="s">
        <v>25</v>
      </c>
      <c r="B9" s="71"/>
      <c r="C9" s="93" t="str">
        <f>Ausgangsdaten!C17</f>
        <v>Rechnung</v>
      </c>
      <c r="D9" s="71">
        <f>Ausgangsdaten!C19</f>
        <v>2016</v>
      </c>
      <c r="E9" s="71"/>
      <c r="F9" s="352" t="s">
        <v>85</v>
      </c>
      <c r="G9" s="353"/>
    </row>
    <row r="10" spans="1:8" x14ac:dyDescent="0.2">
      <c r="A10" s="52"/>
      <c r="B10" s="53"/>
      <c r="C10" s="55"/>
      <c r="D10" s="53"/>
      <c r="E10" s="72"/>
      <c r="F10" s="53"/>
      <c r="G10" s="56"/>
    </row>
    <row r="11" spans="1:8" x14ac:dyDescent="0.2">
      <c r="A11" s="36"/>
      <c r="B11" s="10"/>
      <c r="C11" s="11"/>
      <c r="D11" s="10"/>
      <c r="E11" s="69"/>
      <c r="F11" s="10"/>
      <c r="G11" s="13"/>
    </row>
    <row r="12" spans="1:8" s="94" customFormat="1" x14ac:dyDescent="0.2">
      <c r="A12" s="57">
        <v>3</v>
      </c>
      <c r="B12" s="58" t="s">
        <v>1</v>
      </c>
      <c r="C12" s="59">
        <f>SUM(C14+C15+C16+C17+C22+C23+C24+C25+C26+C27)</f>
        <v>922</v>
      </c>
      <c r="D12" s="58"/>
      <c r="E12" s="60">
        <v>4</v>
      </c>
      <c r="F12" s="58" t="s">
        <v>2</v>
      </c>
      <c r="G12" s="59">
        <f>SUM(G14:G15)+SUM(G17:G23)</f>
        <v>951</v>
      </c>
    </row>
    <row r="13" spans="1:8" x14ac:dyDescent="0.2">
      <c r="A13" s="36"/>
      <c r="B13" s="10"/>
      <c r="C13" s="11"/>
      <c r="D13" s="10"/>
      <c r="E13" s="69"/>
      <c r="F13" s="10"/>
      <c r="G13" s="13"/>
    </row>
    <row r="14" spans="1:8" x14ac:dyDescent="0.2">
      <c r="A14" s="57">
        <v>30</v>
      </c>
      <c r="B14" s="58" t="s">
        <v>3</v>
      </c>
      <c r="C14" s="86">
        <v>600</v>
      </c>
      <c r="D14" s="10"/>
      <c r="E14" s="60">
        <v>41</v>
      </c>
      <c r="F14" s="110" t="s">
        <v>21</v>
      </c>
      <c r="G14" s="86">
        <v>50</v>
      </c>
    </row>
    <row r="15" spans="1:8" x14ac:dyDescent="0.2">
      <c r="A15" s="57">
        <v>31</v>
      </c>
      <c r="B15" s="58" t="s">
        <v>4</v>
      </c>
      <c r="C15" s="87">
        <v>200</v>
      </c>
      <c r="D15" s="10"/>
      <c r="E15" s="60">
        <v>42</v>
      </c>
      <c r="F15" s="58" t="s">
        <v>11</v>
      </c>
      <c r="G15" s="87">
        <v>500</v>
      </c>
    </row>
    <row r="16" spans="1:8" x14ac:dyDescent="0.2">
      <c r="A16" s="57">
        <v>32</v>
      </c>
      <c r="B16" s="58" t="s">
        <v>5</v>
      </c>
      <c r="C16" s="87">
        <v>20</v>
      </c>
      <c r="D16" s="10"/>
      <c r="E16" s="69">
        <v>424</v>
      </c>
      <c r="F16" s="10" t="s">
        <v>121</v>
      </c>
      <c r="G16" s="87"/>
      <c r="H16" s="95"/>
    </row>
    <row r="17" spans="1:7" x14ac:dyDescent="0.2">
      <c r="A17" s="57">
        <v>33</v>
      </c>
      <c r="B17" s="58" t="s">
        <v>6</v>
      </c>
      <c r="C17" s="96">
        <f>SUM(C18:C21)</f>
        <v>41</v>
      </c>
      <c r="D17" s="10"/>
      <c r="E17" s="60">
        <v>43</v>
      </c>
      <c r="F17" s="58" t="s">
        <v>12</v>
      </c>
      <c r="G17" s="87">
        <v>350</v>
      </c>
    </row>
    <row r="18" spans="1:7" x14ac:dyDescent="0.2">
      <c r="A18" s="36">
        <v>330</v>
      </c>
      <c r="B18" s="10" t="s">
        <v>7</v>
      </c>
      <c r="C18" s="87">
        <v>1</v>
      </c>
      <c r="D18" s="10"/>
      <c r="E18" s="60">
        <v>44</v>
      </c>
      <c r="F18" s="58" t="s">
        <v>22</v>
      </c>
      <c r="G18" s="87">
        <v>0</v>
      </c>
    </row>
    <row r="19" spans="1:7" x14ac:dyDescent="0.2">
      <c r="A19" s="36">
        <v>331</v>
      </c>
      <c r="B19" s="10" t="s">
        <v>16</v>
      </c>
      <c r="C19" s="87">
        <v>40</v>
      </c>
      <c r="D19" s="10"/>
      <c r="E19" s="60">
        <v>45</v>
      </c>
      <c r="F19" s="58" t="s">
        <v>23</v>
      </c>
      <c r="G19" s="87">
        <v>25</v>
      </c>
    </row>
    <row r="20" spans="1:7" x14ac:dyDescent="0.2">
      <c r="A20" s="36">
        <v>332</v>
      </c>
      <c r="B20" s="10" t="s">
        <v>17</v>
      </c>
      <c r="C20" s="87">
        <v>0</v>
      </c>
      <c r="D20" s="10"/>
      <c r="E20" s="60">
        <v>46</v>
      </c>
      <c r="F20" s="58" t="s">
        <v>13</v>
      </c>
      <c r="G20" s="87">
        <v>0</v>
      </c>
    </row>
    <row r="21" spans="1:7" x14ac:dyDescent="0.2">
      <c r="A21" s="36">
        <v>333</v>
      </c>
      <c r="B21" s="10" t="s">
        <v>8</v>
      </c>
      <c r="C21" s="87">
        <v>0</v>
      </c>
      <c r="D21" s="10"/>
      <c r="E21" s="60">
        <v>47</v>
      </c>
      <c r="F21" s="58" t="s">
        <v>19</v>
      </c>
      <c r="G21" s="87">
        <v>15</v>
      </c>
    </row>
    <row r="22" spans="1:7" x14ac:dyDescent="0.2">
      <c r="A22" s="57">
        <v>34</v>
      </c>
      <c r="B22" s="58" t="s">
        <v>18</v>
      </c>
      <c r="C22" s="87">
        <v>0</v>
      </c>
      <c r="D22" s="10"/>
      <c r="E22" s="60">
        <v>48</v>
      </c>
      <c r="F22" s="66" t="s">
        <v>97</v>
      </c>
      <c r="G22" s="87">
        <v>0</v>
      </c>
    </row>
    <row r="23" spans="1:7" x14ac:dyDescent="0.2">
      <c r="A23" s="57">
        <v>35</v>
      </c>
      <c r="B23" s="58" t="s">
        <v>24</v>
      </c>
      <c r="C23" s="87">
        <v>10</v>
      </c>
      <c r="D23" s="10"/>
      <c r="E23" s="60">
        <v>49</v>
      </c>
      <c r="F23" s="58" t="s">
        <v>20</v>
      </c>
      <c r="G23" s="88">
        <v>11</v>
      </c>
    </row>
    <row r="24" spans="1:7" x14ac:dyDescent="0.2">
      <c r="A24" s="57">
        <v>36</v>
      </c>
      <c r="B24" s="58" t="s">
        <v>9</v>
      </c>
      <c r="C24" s="87">
        <v>25</v>
      </c>
      <c r="D24" s="10"/>
      <c r="E24" s="69"/>
      <c r="F24" s="10"/>
      <c r="G24" s="13"/>
    </row>
    <row r="25" spans="1:7" x14ac:dyDescent="0.2">
      <c r="A25" s="57">
        <v>37</v>
      </c>
      <c r="B25" s="58" t="s">
        <v>19</v>
      </c>
      <c r="C25" s="87">
        <v>15</v>
      </c>
      <c r="D25" s="10"/>
      <c r="E25" s="69"/>
      <c r="F25" s="10"/>
      <c r="G25" s="13"/>
    </row>
    <row r="26" spans="1:7" x14ac:dyDescent="0.2">
      <c r="A26" s="57">
        <v>38</v>
      </c>
      <c r="B26" s="66" t="s">
        <v>96</v>
      </c>
      <c r="C26" s="87">
        <v>0</v>
      </c>
      <c r="D26" s="10"/>
      <c r="E26" s="69"/>
      <c r="F26" s="10"/>
      <c r="G26" s="13"/>
    </row>
    <row r="27" spans="1:7" x14ac:dyDescent="0.2">
      <c r="A27" s="57">
        <v>39</v>
      </c>
      <c r="B27" s="58" t="s">
        <v>20</v>
      </c>
      <c r="C27" s="88">
        <v>11</v>
      </c>
      <c r="D27" s="10"/>
      <c r="E27" s="10"/>
      <c r="F27" s="10"/>
      <c r="G27" s="73"/>
    </row>
    <row r="28" spans="1:7" x14ac:dyDescent="0.2">
      <c r="A28" s="57"/>
      <c r="B28" s="10"/>
      <c r="C28" s="10"/>
      <c r="D28" s="10"/>
      <c r="E28" s="10"/>
      <c r="F28" s="10"/>
      <c r="G28" s="73"/>
    </row>
    <row r="29" spans="1:7" x14ac:dyDescent="0.2">
      <c r="A29" s="36"/>
      <c r="B29" s="66" t="str">
        <f>IF(G12&gt;=C12,"Ertragsüberschuss "&amp;D9,"")</f>
        <v>Ertragsüberschuss 2016</v>
      </c>
      <c r="C29" s="97">
        <f>IF(G12&gt;=C12,G12-C12,)</f>
        <v>29</v>
      </c>
      <c r="D29" s="10"/>
      <c r="E29" s="10"/>
      <c r="F29" s="66" t="str">
        <f>IF(C12&gt;=G12,"Aufwandüberschuss "&amp;D9,"")</f>
        <v/>
      </c>
      <c r="G29" s="98">
        <f>IF(C12&gt;=G12,C12-G12,)</f>
        <v>0</v>
      </c>
    </row>
    <row r="30" spans="1:7" ht="15" x14ac:dyDescent="0.2">
      <c r="A30" s="99" t="str">
        <f>IF(C25=G21,"","Achtung: Artennummer 37 und 47 müssen gleich hoch sein!")</f>
        <v/>
      </c>
      <c r="B30" s="10"/>
      <c r="C30" s="10"/>
      <c r="D30" s="10"/>
      <c r="E30" s="10"/>
      <c r="F30" s="10"/>
      <c r="G30" s="73"/>
    </row>
    <row r="31" spans="1:7" ht="15" x14ac:dyDescent="0.2">
      <c r="A31" s="99" t="str">
        <f>IF(C27=G23,"","Achtung: Artennummer 39 und 49 müssen gleich hoch sein!")</f>
        <v/>
      </c>
      <c r="B31" s="10"/>
      <c r="C31" s="10"/>
      <c r="D31" s="10"/>
      <c r="E31" s="10"/>
      <c r="F31" s="10"/>
      <c r="G31" s="73"/>
    </row>
    <row r="32" spans="1:7" x14ac:dyDescent="0.2">
      <c r="A32" s="376" t="str">
        <f>IF(C29&gt;0,"Voraussichtlicher Abschluss:","")</f>
        <v>Voraussichtlicher Abschluss:</v>
      </c>
      <c r="B32" s="377"/>
      <c r="C32" s="10"/>
      <c r="D32" s="10"/>
      <c r="E32" s="10"/>
      <c r="F32" s="66" t="str">
        <f>IF(G29&gt;C29,"Voraussichtlicher Abschluss:","")</f>
        <v/>
      </c>
      <c r="G32" s="73"/>
    </row>
    <row r="33" spans="1:8" x14ac:dyDescent="0.2">
      <c r="A33" s="367" t="s">
        <v>73</v>
      </c>
      <c r="B33" s="368"/>
      <c r="C33" s="86"/>
      <c r="D33" s="10"/>
      <c r="E33" s="10"/>
      <c r="F33" s="10" t="s">
        <v>143</v>
      </c>
      <c r="G33" s="86"/>
      <c r="H33" s="95"/>
    </row>
    <row r="34" spans="1:8" x14ac:dyDescent="0.2">
      <c r="A34" s="367" t="s">
        <v>74</v>
      </c>
      <c r="B34" s="368"/>
      <c r="C34" s="87"/>
      <c r="D34" s="10"/>
      <c r="E34" s="10"/>
      <c r="F34" s="65" t="s">
        <v>76</v>
      </c>
      <c r="G34" s="88">
        <v>0</v>
      </c>
    </row>
    <row r="35" spans="1:8" x14ac:dyDescent="0.2">
      <c r="A35" s="367" t="s">
        <v>75</v>
      </c>
      <c r="B35" s="368"/>
      <c r="C35" s="88">
        <v>29</v>
      </c>
      <c r="D35" s="58"/>
      <c r="E35" s="58"/>
      <c r="F35" s="58"/>
      <c r="G35" s="100"/>
      <c r="H35" s="58"/>
    </row>
    <row r="36" spans="1:8" ht="15" x14ac:dyDescent="0.2">
      <c r="A36" s="99" t="str">
        <f>IF(((G33+G34)=G29),"","Achtung: Verwendung Aufwandüberschuss ist falsch!")</f>
        <v/>
      </c>
      <c r="B36" s="101"/>
      <c r="C36" s="102"/>
      <c r="D36" s="101"/>
      <c r="E36" s="101"/>
      <c r="F36" s="101"/>
      <c r="G36" s="103"/>
      <c r="H36" s="58"/>
    </row>
    <row r="37" spans="1:8" ht="15" x14ac:dyDescent="0.2">
      <c r="A37" s="104" t="str">
        <f>IF(SUM(C33+C34+C35)=C29,"","Achtung: Voraussichtlicher Abschluss weisst eine Differenz aus!")</f>
        <v/>
      </c>
      <c r="B37" s="76"/>
      <c r="C37" s="17"/>
      <c r="D37" s="16"/>
      <c r="E37" s="77"/>
      <c r="F37" s="16"/>
      <c r="G37" s="18"/>
    </row>
    <row r="38" spans="1:8" x14ac:dyDescent="0.2">
      <c r="A38" s="105"/>
      <c r="B38" s="106"/>
      <c r="C38" s="3"/>
      <c r="D38" s="2"/>
      <c r="E38" s="91"/>
      <c r="F38" s="2"/>
      <c r="G38" s="4"/>
    </row>
    <row r="39" spans="1:8" x14ac:dyDescent="0.2">
      <c r="A39" s="57"/>
      <c r="B39" s="58"/>
      <c r="C39" s="11"/>
      <c r="D39" s="10"/>
      <c r="E39" s="69"/>
      <c r="F39" s="10"/>
      <c r="G39" s="13"/>
    </row>
    <row r="40" spans="1:8" x14ac:dyDescent="0.2">
      <c r="A40" s="43"/>
      <c r="B40" s="44"/>
      <c r="C40" s="45"/>
      <c r="D40" s="44"/>
      <c r="E40" s="70"/>
      <c r="F40" s="44"/>
      <c r="G40" s="46"/>
    </row>
    <row r="41" spans="1:8" x14ac:dyDescent="0.2">
      <c r="A41" s="92" t="s">
        <v>25</v>
      </c>
      <c r="B41" s="71"/>
      <c r="C41" s="93" t="str">
        <f>Ausgangsdaten!D18</f>
        <v>Budget</v>
      </c>
      <c r="D41" s="71">
        <f>Ausgangsdaten!D19</f>
        <v>2017</v>
      </c>
      <c r="E41" s="71"/>
      <c r="F41" s="352" t="s">
        <v>85</v>
      </c>
      <c r="G41" s="353"/>
    </row>
    <row r="42" spans="1:8" x14ac:dyDescent="0.2">
      <c r="A42" s="52"/>
      <c r="B42" s="53"/>
      <c r="C42" s="55"/>
      <c r="D42" s="53"/>
      <c r="E42" s="72"/>
      <c r="F42" s="53"/>
      <c r="G42" s="56"/>
    </row>
    <row r="43" spans="1:8" x14ac:dyDescent="0.2">
      <c r="A43" s="36"/>
      <c r="B43" s="10"/>
      <c r="C43" s="11"/>
      <c r="D43" s="10"/>
      <c r="E43" s="69"/>
      <c r="F43" s="10"/>
      <c r="G43" s="13"/>
    </row>
    <row r="44" spans="1:8" x14ac:dyDescent="0.2">
      <c r="A44" s="57">
        <v>3</v>
      </c>
      <c r="B44" s="58" t="s">
        <v>1</v>
      </c>
      <c r="C44" s="59">
        <f>SUM(C46+C47+C48+C49+C54+C55+C56+C57+C58+C59)</f>
        <v>1010</v>
      </c>
      <c r="D44" s="58"/>
      <c r="E44" s="60">
        <v>4</v>
      </c>
      <c r="F44" s="58" t="s">
        <v>2</v>
      </c>
      <c r="G44" s="59">
        <f>SUM(G46:G47)+SUM(G49:G55)</f>
        <v>1040</v>
      </c>
    </row>
    <row r="45" spans="1:8" x14ac:dyDescent="0.2">
      <c r="A45" s="61"/>
      <c r="B45" s="10"/>
      <c r="C45" s="11"/>
      <c r="D45" s="10"/>
      <c r="E45" s="69"/>
      <c r="F45" s="10"/>
      <c r="G45" s="13"/>
    </row>
    <row r="46" spans="1:8" x14ac:dyDescent="0.2">
      <c r="A46" s="57">
        <v>30</v>
      </c>
      <c r="B46" s="58" t="s">
        <v>3</v>
      </c>
      <c r="C46" s="86">
        <v>620</v>
      </c>
      <c r="D46" s="10"/>
      <c r="E46" s="60">
        <v>41</v>
      </c>
      <c r="F46" s="58" t="s">
        <v>21</v>
      </c>
      <c r="G46" s="86">
        <v>51</v>
      </c>
    </row>
    <row r="47" spans="1:8" x14ac:dyDescent="0.2">
      <c r="A47" s="57">
        <v>31</v>
      </c>
      <c r="B47" s="58" t="s">
        <v>4</v>
      </c>
      <c r="C47" s="87">
        <v>250</v>
      </c>
      <c r="D47" s="10"/>
      <c r="E47" s="60">
        <v>42</v>
      </c>
      <c r="F47" s="58" t="s">
        <v>11</v>
      </c>
      <c r="G47" s="87">
        <v>590</v>
      </c>
    </row>
    <row r="48" spans="1:8" x14ac:dyDescent="0.2">
      <c r="A48" s="57">
        <v>32</v>
      </c>
      <c r="B48" s="58" t="s">
        <v>5</v>
      </c>
      <c r="C48" s="87">
        <v>21</v>
      </c>
      <c r="D48" s="10"/>
      <c r="E48" s="69">
        <v>424</v>
      </c>
      <c r="F48" s="10" t="s">
        <v>121</v>
      </c>
      <c r="G48" s="87">
        <v>80</v>
      </c>
      <c r="H48" s="95"/>
    </row>
    <row r="49" spans="1:8" x14ac:dyDescent="0.2">
      <c r="A49" s="57">
        <v>33</v>
      </c>
      <c r="B49" s="58" t="s">
        <v>6</v>
      </c>
      <c r="C49" s="96">
        <f>SUM(C50:C53)</f>
        <v>44</v>
      </c>
      <c r="D49" s="10"/>
      <c r="E49" s="60">
        <v>43</v>
      </c>
      <c r="F49" s="58" t="s">
        <v>12</v>
      </c>
      <c r="G49" s="87">
        <v>350</v>
      </c>
    </row>
    <row r="50" spans="1:8" x14ac:dyDescent="0.2">
      <c r="A50" s="36">
        <v>330</v>
      </c>
      <c r="B50" s="10" t="s">
        <v>7</v>
      </c>
      <c r="C50" s="87">
        <v>2</v>
      </c>
      <c r="D50" s="10"/>
      <c r="E50" s="60">
        <v>44</v>
      </c>
      <c r="F50" s="58" t="s">
        <v>22</v>
      </c>
      <c r="G50" s="87">
        <v>0</v>
      </c>
    </row>
    <row r="51" spans="1:8" x14ac:dyDescent="0.2">
      <c r="A51" s="36">
        <v>331</v>
      </c>
      <c r="B51" s="10" t="s">
        <v>16</v>
      </c>
      <c r="C51" s="87">
        <v>42</v>
      </c>
      <c r="D51" s="10"/>
      <c r="E51" s="60">
        <v>45</v>
      </c>
      <c r="F51" s="58" t="s">
        <v>23</v>
      </c>
      <c r="G51" s="87">
        <v>10</v>
      </c>
    </row>
    <row r="52" spans="1:8" x14ac:dyDescent="0.2">
      <c r="A52" s="36">
        <v>332</v>
      </c>
      <c r="B52" s="10" t="s">
        <v>17</v>
      </c>
      <c r="C52" s="87">
        <v>0</v>
      </c>
      <c r="D52" s="10"/>
      <c r="E52" s="60">
        <v>46</v>
      </c>
      <c r="F52" s="58" t="s">
        <v>13</v>
      </c>
      <c r="G52" s="87">
        <v>20</v>
      </c>
    </row>
    <row r="53" spans="1:8" x14ac:dyDescent="0.2">
      <c r="A53" s="36">
        <v>333</v>
      </c>
      <c r="B53" s="10" t="s">
        <v>8</v>
      </c>
      <c r="C53" s="87">
        <v>0</v>
      </c>
      <c r="D53" s="10"/>
      <c r="E53" s="60">
        <v>47</v>
      </c>
      <c r="F53" s="58" t="s">
        <v>19</v>
      </c>
      <c r="G53" s="87">
        <v>7</v>
      </c>
    </row>
    <row r="54" spans="1:8" x14ac:dyDescent="0.2">
      <c r="A54" s="57">
        <v>34</v>
      </c>
      <c r="B54" s="58" t="s">
        <v>18</v>
      </c>
      <c r="C54" s="87">
        <v>0</v>
      </c>
      <c r="D54" s="10"/>
      <c r="E54" s="60">
        <v>48</v>
      </c>
      <c r="F54" s="66" t="s">
        <v>97</v>
      </c>
      <c r="G54" s="87">
        <v>0</v>
      </c>
    </row>
    <row r="55" spans="1:8" x14ac:dyDescent="0.2">
      <c r="A55" s="57">
        <v>35</v>
      </c>
      <c r="B55" s="58" t="s">
        <v>24</v>
      </c>
      <c r="C55" s="87">
        <v>34</v>
      </c>
      <c r="D55" s="10"/>
      <c r="E55" s="60">
        <v>49</v>
      </c>
      <c r="F55" s="58" t="s">
        <v>20</v>
      </c>
      <c r="G55" s="88">
        <v>12</v>
      </c>
    </row>
    <row r="56" spans="1:8" x14ac:dyDescent="0.2">
      <c r="A56" s="57">
        <v>36</v>
      </c>
      <c r="B56" s="58" t="s">
        <v>9</v>
      </c>
      <c r="C56" s="87">
        <v>22</v>
      </c>
      <c r="D56" s="10"/>
      <c r="E56" s="10"/>
      <c r="F56" s="10"/>
      <c r="G56" s="73"/>
    </row>
    <row r="57" spans="1:8" x14ac:dyDescent="0.2">
      <c r="A57" s="57">
        <v>37</v>
      </c>
      <c r="B57" s="58" t="s">
        <v>19</v>
      </c>
      <c r="C57" s="87">
        <v>7</v>
      </c>
      <c r="D57" s="10"/>
      <c r="E57" s="10"/>
      <c r="F57" s="10"/>
      <c r="G57" s="73"/>
    </row>
    <row r="58" spans="1:8" x14ac:dyDescent="0.2">
      <c r="A58" s="57">
        <v>38</v>
      </c>
      <c r="B58" s="66" t="s">
        <v>96</v>
      </c>
      <c r="C58" s="87">
        <v>0</v>
      </c>
      <c r="D58" s="10"/>
      <c r="E58" s="10"/>
      <c r="F58" s="10"/>
      <c r="G58" s="73"/>
    </row>
    <row r="59" spans="1:8" x14ac:dyDescent="0.2">
      <c r="A59" s="57">
        <v>39</v>
      </c>
      <c r="B59" s="58" t="s">
        <v>20</v>
      </c>
      <c r="C59" s="88">
        <v>12</v>
      </c>
      <c r="D59" s="10"/>
      <c r="E59" s="10"/>
      <c r="F59" s="10"/>
      <c r="G59" s="73"/>
    </row>
    <row r="60" spans="1:8" x14ac:dyDescent="0.2">
      <c r="A60" s="57"/>
      <c r="B60" s="58"/>
      <c r="C60" s="58"/>
      <c r="D60" s="10"/>
      <c r="E60" s="60"/>
      <c r="F60" s="58"/>
      <c r="G60" s="100"/>
    </row>
    <row r="61" spans="1:8" x14ac:dyDescent="0.2">
      <c r="A61" s="57"/>
      <c r="B61" s="66" t="str">
        <f>IF(G44&gt;=C44,"Ertragsüberschuss "&amp;D41,"")</f>
        <v>Ertragsüberschuss 2017</v>
      </c>
      <c r="C61" s="97">
        <f>IF(G44&gt;=C44,G44-C44,)</f>
        <v>30</v>
      </c>
      <c r="D61" s="10"/>
      <c r="E61" s="10"/>
      <c r="F61" s="66" t="str">
        <f>IF(C44&gt;=G44,"Aufwandüberschuss "&amp;D41,"")</f>
        <v/>
      </c>
      <c r="G61" s="98">
        <f>IF(C44&gt;=G44,C44-G44,)</f>
        <v>0</v>
      </c>
    </row>
    <row r="62" spans="1:8" ht="15" x14ac:dyDescent="0.2">
      <c r="A62" s="107" t="str">
        <f>IF(C57=G53,"","Achtung: Artennummer 37 und 47 müssen gleich hoch sein!")</f>
        <v/>
      </c>
      <c r="B62" s="16"/>
      <c r="C62" s="16"/>
      <c r="D62" s="16"/>
      <c r="E62" s="16"/>
      <c r="F62" s="16"/>
      <c r="G62" s="78"/>
    </row>
    <row r="63" spans="1:8" ht="15" x14ac:dyDescent="0.2">
      <c r="A63" s="108" t="str">
        <f>IF(C59=G55,"","Achtung: Artennummer 39 und 49 müssen gleich hoch sein!")</f>
        <v/>
      </c>
      <c r="B63" s="10"/>
      <c r="C63" s="10"/>
      <c r="D63" s="10"/>
      <c r="E63" s="10"/>
      <c r="F63" s="10"/>
      <c r="G63" s="2"/>
      <c r="H63" s="10"/>
    </row>
    <row r="64" spans="1:8" x14ac:dyDescent="0.2">
      <c r="A64" s="69"/>
      <c r="B64" s="10"/>
      <c r="C64" s="11"/>
      <c r="D64" s="10"/>
      <c r="E64" s="69"/>
      <c r="F64" s="10"/>
    </row>
    <row r="81" spans="1:1" x14ac:dyDescent="0.2">
      <c r="A81" s="109"/>
    </row>
  </sheetData>
  <sheetProtection password="CF85" sheet="1" objects="1" scenarios="1"/>
  <mergeCells count="12">
    <mergeCell ref="F9:G9"/>
    <mergeCell ref="F41:G41"/>
    <mergeCell ref="C2:G3"/>
    <mergeCell ref="A4:B5"/>
    <mergeCell ref="C4:C5"/>
    <mergeCell ref="D4:D5"/>
    <mergeCell ref="E4:E5"/>
    <mergeCell ref="A32:B32"/>
    <mergeCell ref="A33:B33"/>
    <mergeCell ref="A34:B34"/>
    <mergeCell ref="A35:B35"/>
    <mergeCell ref="A2:B3"/>
  </mergeCells>
  <phoneticPr fontId="1" type="noConversion"/>
  <pageMargins left="0.55118110236220474" right="0.59055118110236227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11" zoomScale="150" zoomScaleNormal="150" workbookViewId="0">
      <selection activeCell="E20" sqref="E20"/>
    </sheetView>
  </sheetViews>
  <sheetFormatPr baseColWidth="10" defaultRowHeight="11.25" x14ac:dyDescent="0.2"/>
  <cols>
    <col min="1" max="1" width="3.5" style="42" customWidth="1"/>
    <col min="2" max="2" width="23.5" style="5" customWidth="1"/>
    <col min="3" max="3" width="7.625" style="8" customWidth="1"/>
    <col min="4" max="4" width="5.875" style="8" customWidth="1"/>
    <col min="5" max="5" width="6.125" style="8" bestFit="1" customWidth="1"/>
    <col min="6" max="10" width="5.625" style="8" customWidth="1"/>
    <col min="11" max="11" width="11" style="8"/>
    <col min="12" max="16384" width="11" style="5"/>
  </cols>
  <sheetData>
    <row r="1" spans="1:11" x14ac:dyDescent="0.2">
      <c r="A1" s="1"/>
      <c r="B1" s="2"/>
      <c r="C1" s="3"/>
      <c r="D1" s="2"/>
      <c r="E1" s="91"/>
      <c r="F1" s="2"/>
      <c r="G1" s="3"/>
      <c r="H1" s="2"/>
      <c r="I1" s="2"/>
      <c r="J1" s="111"/>
      <c r="K1" s="5"/>
    </row>
    <row r="2" spans="1:11" ht="14.25" customHeight="1" x14ac:dyDescent="0.2">
      <c r="A2" s="354" t="str">
        <f>Ausgangsdaten!A2</f>
        <v xml:space="preserve">Korporation </v>
      </c>
      <c r="B2" s="355"/>
      <c r="C2" s="372" t="str">
        <f>Ausgangsdaten!C2</f>
        <v>Muster</v>
      </c>
      <c r="D2" s="372"/>
      <c r="E2" s="372"/>
      <c r="F2" s="372"/>
      <c r="G2" s="372"/>
      <c r="H2" s="372"/>
      <c r="I2" s="372"/>
      <c r="J2" s="373"/>
      <c r="K2" s="5"/>
    </row>
    <row r="3" spans="1:11" ht="11.25" customHeight="1" x14ac:dyDescent="0.2">
      <c r="A3" s="354"/>
      <c r="B3" s="355"/>
      <c r="C3" s="372"/>
      <c r="D3" s="372"/>
      <c r="E3" s="372"/>
      <c r="F3" s="372"/>
      <c r="G3" s="372"/>
      <c r="H3" s="372"/>
      <c r="I3" s="372"/>
      <c r="J3" s="373"/>
      <c r="K3" s="5"/>
    </row>
    <row r="4" spans="1:11" ht="11.25" customHeight="1" x14ac:dyDescent="0.25">
      <c r="A4" s="112"/>
      <c r="B4" s="6"/>
      <c r="C4" s="6"/>
      <c r="D4" s="6"/>
      <c r="E4" s="6"/>
      <c r="F4" s="6"/>
      <c r="G4" s="6"/>
      <c r="H4" s="10"/>
      <c r="I4" s="10"/>
      <c r="J4" s="73"/>
      <c r="K4" s="5"/>
    </row>
    <row r="5" spans="1:11" ht="11.25" customHeight="1" x14ac:dyDescent="0.25">
      <c r="A5" s="374" t="str">
        <f>Ausgangsdaten!A4</f>
        <v>Finanzplan</v>
      </c>
      <c r="B5" s="375"/>
      <c r="C5" s="362">
        <f>Ausgangsdaten!C4</f>
        <v>2017</v>
      </c>
      <c r="D5" s="363" t="s">
        <v>62</v>
      </c>
      <c r="E5" s="362">
        <f>Ausgangsdaten!E4</f>
        <v>2021</v>
      </c>
      <c r="F5" s="6"/>
      <c r="G5" s="6"/>
      <c r="H5" s="10"/>
      <c r="I5" s="10"/>
      <c r="J5" s="73"/>
      <c r="K5" s="5"/>
    </row>
    <row r="6" spans="1:11" ht="11.25" customHeight="1" x14ac:dyDescent="0.25">
      <c r="A6" s="374"/>
      <c r="B6" s="375"/>
      <c r="C6" s="363"/>
      <c r="D6" s="363"/>
      <c r="E6" s="363"/>
      <c r="F6" s="6"/>
      <c r="G6" s="6"/>
      <c r="H6" s="10"/>
      <c r="I6" s="10"/>
      <c r="J6" s="73"/>
      <c r="K6" s="5"/>
    </row>
    <row r="7" spans="1:11" x14ac:dyDescent="0.2">
      <c r="A7" s="15"/>
      <c r="B7" s="16"/>
      <c r="C7" s="17"/>
      <c r="D7" s="17"/>
      <c r="E7" s="17"/>
      <c r="F7" s="17"/>
      <c r="G7" s="17"/>
      <c r="H7" s="17"/>
      <c r="I7" s="17"/>
      <c r="J7" s="18"/>
    </row>
    <row r="10" spans="1:11" x14ac:dyDescent="0.2">
      <c r="A10" s="19"/>
      <c r="B10" s="20"/>
      <c r="C10" s="22"/>
      <c r="D10" s="22"/>
      <c r="E10" s="22"/>
      <c r="F10" s="22"/>
      <c r="G10" s="22"/>
      <c r="H10" s="22"/>
      <c r="I10" s="22"/>
      <c r="J10" s="21"/>
    </row>
    <row r="11" spans="1:11" ht="14.25" x14ac:dyDescent="0.2">
      <c r="A11" s="348" t="s">
        <v>1</v>
      </c>
      <c r="B11" s="380"/>
      <c r="C11" s="113"/>
      <c r="D11" s="113"/>
      <c r="E11" s="113"/>
      <c r="F11" s="113"/>
      <c r="G11" s="113"/>
      <c r="H11" s="350" t="s">
        <v>85</v>
      </c>
      <c r="I11" s="378"/>
      <c r="J11" s="379"/>
    </row>
    <row r="12" spans="1:11" x14ac:dyDescent="0.2">
      <c r="A12" s="31"/>
      <c r="B12" s="32"/>
      <c r="C12" s="35"/>
      <c r="D12" s="35"/>
      <c r="E12" s="35"/>
      <c r="F12" s="35"/>
      <c r="G12" s="35"/>
      <c r="H12" s="35"/>
      <c r="I12" s="35"/>
      <c r="J12" s="34"/>
    </row>
    <row r="13" spans="1:11" x14ac:dyDescent="0.2">
      <c r="A13" s="19"/>
      <c r="B13" s="20"/>
      <c r="C13" s="23"/>
      <c r="D13" s="21"/>
      <c r="E13" s="23"/>
      <c r="F13" s="22"/>
      <c r="G13" s="22"/>
      <c r="H13" s="21"/>
      <c r="I13" s="22"/>
      <c r="J13" s="21"/>
    </row>
    <row r="14" spans="1:11" s="25" customFormat="1" x14ac:dyDescent="0.2">
      <c r="A14" s="348" t="s">
        <v>15</v>
      </c>
      <c r="B14" s="349"/>
      <c r="C14" s="114" t="str">
        <f>Ausgangsdaten!C17</f>
        <v>Rechnung</v>
      </c>
      <c r="D14" s="24" t="s">
        <v>0</v>
      </c>
      <c r="E14" s="371" t="s">
        <v>26</v>
      </c>
      <c r="F14" s="358"/>
      <c r="G14" s="358"/>
      <c r="H14" s="359"/>
      <c r="I14" s="371" t="s">
        <v>77</v>
      </c>
      <c r="J14" s="359"/>
      <c r="K14" s="115"/>
    </row>
    <row r="15" spans="1:11" x14ac:dyDescent="0.2">
      <c r="A15" s="26"/>
      <c r="B15" s="27"/>
      <c r="C15" s="28">
        <f>SUM(Ausgangsdaten!C11)</f>
        <v>2016</v>
      </c>
      <c r="D15" s="29">
        <f>SUM(Ausgangsdaten!C12)</f>
        <v>2017</v>
      </c>
      <c r="E15" s="28">
        <f>SUM(Ausgangsdaten!C13)</f>
        <v>2018</v>
      </c>
      <c r="F15" s="30">
        <f>SUM(E15+1)</f>
        <v>2019</v>
      </c>
      <c r="G15" s="30">
        <f>SUM(F15+1)</f>
        <v>2020</v>
      </c>
      <c r="H15" s="29">
        <f>SUM(G15+1)</f>
        <v>2021</v>
      </c>
      <c r="I15" s="30">
        <f>SUM(H15+1)</f>
        <v>2022</v>
      </c>
      <c r="J15" s="29">
        <f>SUM(I15+1)</f>
        <v>2023</v>
      </c>
    </row>
    <row r="16" spans="1:11" x14ac:dyDescent="0.2">
      <c r="A16" s="31"/>
      <c r="B16" s="32"/>
      <c r="C16" s="33"/>
      <c r="D16" s="34"/>
      <c r="E16" s="33"/>
      <c r="F16" s="35"/>
      <c r="G16" s="35"/>
      <c r="H16" s="34"/>
      <c r="I16" s="35"/>
      <c r="J16" s="34"/>
    </row>
    <row r="17" spans="1:12" x14ac:dyDescent="0.2">
      <c r="A17" s="36"/>
      <c r="B17" s="10"/>
      <c r="C17" s="37"/>
      <c r="D17" s="13"/>
      <c r="E17" s="37"/>
      <c r="F17" s="11"/>
      <c r="G17" s="11"/>
      <c r="H17" s="13"/>
      <c r="I17" s="11"/>
      <c r="J17" s="13"/>
    </row>
    <row r="18" spans="1:12" x14ac:dyDescent="0.2">
      <c r="A18" s="36">
        <v>30</v>
      </c>
      <c r="B18" s="10" t="s">
        <v>3</v>
      </c>
      <c r="C18" s="37">
        <f>'Budgets LR'!C14</f>
        <v>600</v>
      </c>
      <c r="D18" s="13">
        <f>'Budgets LR'!C46</f>
        <v>620</v>
      </c>
      <c r="E18" s="37">
        <f>SUM(D18*Ausgangsdaten!E22)+D18</f>
        <v>623.1</v>
      </c>
      <c r="F18" s="11">
        <f>SUM(E18*Ausgangsdaten!F22)+E18</f>
        <v>632.44650000000001</v>
      </c>
      <c r="G18" s="11">
        <f>SUM(F18*Ausgangsdaten!G22)+F18</f>
        <v>635.60873249999997</v>
      </c>
      <c r="H18" s="13">
        <f>SUM(G18*Ausgangsdaten!H22)+G18</f>
        <v>645.14286348749999</v>
      </c>
      <c r="I18" s="11">
        <f>SUM(H18*Ausgangsdaten!I22)+H18</f>
        <v>651.59429212237501</v>
      </c>
      <c r="J18" s="13">
        <f>SUM(I18*Ausgangsdaten!J22)+I18</f>
        <v>661.36820650421066</v>
      </c>
      <c r="L18" s="116"/>
    </row>
    <row r="19" spans="1:12" x14ac:dyDescent="0.2">
      <c r="A19" s="36">
        <v>31</v>
      </c>
      <c r="B19" s="10" t="s">
        <v>4</v>
      </c>
      <c r="C19" s="37">
        <f>'Budgets LR'!C15</f>
        <v>200</v>
      </c>
      <c r="D19" s="13">
        <f>'Budgets LR'!C47</f>
        <v>250</v>
      </c>
      <c r="E19" s="37">
        <f>SUM(D19*Ausgangsdaten!E23)+D19</f>
        <v>252.5</v>
      </c>
      <c r="F19" s="11">
        <f>SUM(E19*Ausgangsdaten!F23)+E19</f>
        <v>255.02500000000001</v>
      </c>
      <c r="G19" s="11">
        <f>SUM(F19*Ausgangsdaten!G23)+F19</f>
        <v>257.57524999999998</v>
      </c>
      <c r="H19" s="13">
        <f>SUM(G19*Ausgangsdaten!H23)+G19</f>
        <v>260.1510025</v>
      </c>
      <c r="I19" s="11">
        <f>SUM(H19*Ausgangsdaten!I23)+H19</f>
        <v>262.75251252499999</v>
      </c>
      <c r="J19" s="13">
        <f>SUM(I19*Ausgangsdaten!J23)+I19</f>
        <v>265.38003765024996</v>
      </c>
      <c r="L19" s="116"/>
    </row>
    <row r="20" spans="1:12" x14ac:dyDescent="0.2">
      <c r="A20" s="36">
        <v>32</v>
      </c>
      <c r="B20" s="10" t="s">
        <v>5</v>
      </c>
      <c r="C20" s="37">
        <f>'Budgets LR'!C16</f>
        <v>20</v>
      </c>
      <c r="D20" s="13">
        <f>'Budgets LR'!C48</f>
        <v>21</v>
      </c>
      <c r="E20" s="37">
        <f t="shared" ref="E20:J20" si="0">SUM(D20)</f>
        <v>21</v>
      </c>
      <c r="F20" s="11">
        <f t="shared" si="0"/>
        <v>21</v>
      </c>
      <c r="G20" s="11">
        <f t="shared" si="0"/>
        <v>21</v>
      </c>
      <c r="H20" s="13">
        <f t="shared" si="0"/>
        <v>21</v>
      </c>
      <c r="I20" s="11">
        <f t="shared" si="0"/>
        <v>21</v>
      </c>
      <c r="J20" s="13">
        <f t="shared" si="0"/>
        <v>21</v>
      </c>
      <c r="L20" s="116"/>
    </row>
    <row r="21" spans="1:12" x14ac:dyDescent="0.2">
      <c r="A21" s="36">
        <v>330</v>
      </c>
      <c r="B21" s="10" t="s">
        <v>80</v>
      </c>
      <c r="C21" s="37">
        <f>'Budgets LR'!C18</f>
        <v>1</v>
      </c>
      <c r="D21" s="13">
        <f>'Budgets LR'!C50</f>
        <v>2</v>
      </c>
      <c r="E21" s="120">
        <v>2</v>
      </c>
      <c r="F21" s="121">
        <v>1</v>
      </c>
      <c r="G21" s="121">
        <v>1</v>
      </c>
      <c r="H21" s="122">
        <v>1</v>
      </c>
      <c r="I21" s="121">
        <v>1</v>
      </c>
      <c r="J21" s="122">
        <v>1</v>
      </c>
      <c r="L21" s="116"/>
    </row>
    <row r="22" spans="1:12" x14ac:dyDescent="0.2">
      <c r="A22" s="36">
        <v>34</v>
      </c>
      <c r="B22" s="10" t="s">
        <v>79</v>
      </c>
      <c r="C22" s="37">
        <f>'Budgets LR'!C22</f>
        <v>0</v>
      </c>
      <c r="D22" s="13">
        <f>'Budgets LR'!C54</f>
        <v>0</v>
      </c>
      <c r="E22" s="120">
        <v>0</v>
      </c>
      <c r="F22" s="121">
        <v>0</v>
      </c>
      <c r="G22" s="121">
        <v>0</v>
      </c>
      <c r="H22" s="122">
        <v>0</v>
      </c>
      <c r="I22" s="121">
        <v>0</v>
      </c>
      <c r="J22" s="122">
        <v>0</v>
      </c>
      <c r="L22" s="116"/>
    </row>
    <row r="23" spans="1:12" x14ac:dyDescent="0.2">
      <c r="A23" s="36">
        <v>35</v>
      </c>
      <c r="B23" s="10" t="s">
        <v>24</v>
      </c>
      <c r="C23" s="37">
        <f>'Budgets LR'!C23</f>
        <v>10</v>
      </c>
      <c r="D23" s="13">
        <f>'Budgets LR'!C55</f>
        <v>34</v>
      </c>
      <c r="E23" s="37">
        <f>SUM(D23*Ausgangsdaten!E24)+D23</f>
        <v>34.340000000000003</v>
      </c>
      <c r="F23" s="11">
        <f>SUM(E23*Ausgangsdaten!F24)+E23</f>
        <v>34.683400000000006</v>
      </c>
      <c r="G23" s="11">
        <f>SUM(F23*Ausgangsdaten!G24)+F23</f>
        <v>35.030234000000007</v>
      </c>
      <c r="H23" s="13">
        <f>SUM(G23*Ausgangsdaten!H24)+G23</f>
        <v>35.380536340000006</v>
      </c>
      <c r="I23" s="11">
        <f>SUM(H23*Ausgangsdaten!I24)+H23</f>
        <v>35.734341703400005</v>
      </c>
      <c r="J23" s="13">
        <f>SUM(I23*Ausgangsdaten!J24)+I23</f>
        <v>36.091685120434008</v>
      </c>
      <c r="L23" s="116"/>
    </row>
    <row r="24" spans="1:12" x14ac:dyDescent="0.2">
      <c r="A24" s="36">
        <v>36</v>
      </c>
      <c r="B24" s="10" t="s">
        <v>9</v>
      </c>
      <c r="C24" s="37">
        <f>'Budgets LR'!C24</f>
        <v>25</v>
      </c>
      <c r="D24" s="13">
        <f>SUM('Budgets LR'!C56)</f>
        <v>22</v>
      </c>
      <c r="E24" s="37">
        <f>SUM(D24*Ausgangsdaten!E25)+D24</f>
        <v>22.33</v>
      </c>
      <c r="F24" s="11">
        <f>SUM(E24*Ausgangsdaten!F25)+E24</f>
        <v>22.664949999999997</v>
      </c>
      <c r="G24" s="11">
        <f>SUM(F24*Ausgangsdaten!G25)+F24</f>
        <v>22.891599499999998</v>
      </c>
      <c r="H24" s="13">
        <f>SUM(G24*Ausgangsdaten!H25)+G24</f>
        <v>23.234973492499996</v>
      </c>
      <c r="I24" s="11">
        <f>SUM(H24*Ausgangsdaten!I25)+H24</f>
        <v>23.467323227424995</v>
      </c>
      <c r="J24" s="13">
        <f>SUM(I24*Ausgangsdaten!J25)+I24</f>
        <v>23.819333075836369</v>
      </c>
      <c r="L24" s="116"/>
    </row>
    <row r="25" spans="1:12" x14ac:dyDescent="0.2">
      <c r="A25" s="36">
        <v>37</v>
      </c>
      <c r="B25" s="10" t="s">
        <v>19</v>
      </c>
      <c r="C25" s="37">
        <f>SUM('Budgets LR'!C25)</f>
        <v>15</v>
      </c>
      <c r="D25" s="13">
        <f>SUM('Budgets LR'!C57)</f>
        <v>7</v>
      </c>
      <c r="E25" s="37">
        <f t="shared" ref="E25:J25" si="1">D25</f>
        <v>7</v>
      </c>
      <c r="F25" s="11">
        <f t="shared" si="1"/>
        <v>7</v>
      </c>
      <c r="G25" s="11">
        <f t="shared" si="1"/>
        <v>7</v>
      </c>
      <c r="H25" s="13">
        <f t="shared" si="1"/>
        <v>7</v>
      </c>
      <c r="I25" s="11">
        <f t="shared" si="1"/>
        <v>7</v>
      </c>
      <c r="J25" s="13">
        <f t="shared" si="1"/>
        <v>7</v>
      </c>
      <c r="L25" s="116"/>
    </row>
    <row r="26" spans="1:12" x14ac:dyDescent="0.2">
      <c r="A26" s="36">
        <v>38</v>
      </c>
      <c r="B26" s="10" t="s">
        <v>10</v>
      </c>
      <c r="C26" s="37">
        <f>'Budgets LR'!C26</f>
        <v>0</v>
      </c>
      <c r="D26" s="13">
        <f>SUM('Budgets LR'!C58)</f>
        <v>0</v>
      </c>
      <c r="E26" s="120">
        <v>0</v>
      </c>
      <c r="F26" s="121">
        <v>0</v>
      </c>
      <c r="G26" s="121">
        <v>0</v>
      </c>
      <c r="H26" s="122">
        <v>0</v>
      </c>
      <c r="I26" s="121">
        <v>0</v>
      </c>
      <c r="J26" s="122">
        <v>0</v>
      </c>
      <c r="L26" s="116"/>
    </row>
    <row r="27" spans="1:12" x14ac:dyDescent="0.2">
      <c r="A27" s="36">
        <v>39</v>
      </c>
      <c r="B27" s="10" t="s">
        <v>20</v>
      </c>
      <c r="C27" s="37">
        <f>'Budgets LR'!C27</f>
        <v>11</v>
      </c>
      <c r="D27" s="13">
        <f>SUM('Budgets LR'!C59)</f>
        <v>12</v>
      </c>
      <c r="E27" s="37">
        <f>SUM(D27)</f>
        <v>12</v>
      </c>
      <c r="F27" s="11">
        <f>SUM(D27)</f>
        <v>12</v>
      </c>
      <c r="G27" s="11">
        <f>SUM(D27)</f>
        <v>12</v>
      </c>
      <c r="H27" s="13">
        <f>SUM(D27)</f>
        <v>12</v>
      </c>
      <c r="I27" s="11">
        <f>SUM(G27)</f>
        <v>12</v>
      </c>
      <c r="J27" s="13">
        <f>SUM(G27)</f>
        <v>12</v>
      </c>
      <c r="L27" s="116"/>
    </row>
    <row r="28" spans="1:12" x14ac:dyDescent="0.2">
      <c r="A28" s="36"/>
      <c r="B28" s="10"/>
      <c r="C28" s="37"/>
      <c r="D28" s="13"/>
      <c r="E28" s="37"/>
      <c r="F28" s="11"/>
      <c r="G28" s="11"/>
      <c r="H28" s="13"/>
      <c r="I28" s="117"/>
      <c r="J28" s="13"/>
      <c r="L28" s="116"/>
    </row>
    <row r="29" spans="1:12" x14ac:dyDescent="0.2">
      <c r="A29" s="19"/>
      <c r="B29" s="20"/>
      <c r="C29" s="23"/>
      <c r="D29" s="21"/>
      <c r="E29" s="23"/>
      <c r="F29" s="22"/>
      <c r="G29" s="22"/>
      <c r="H29" s="21"/>
      <c r="I29" s="22"/>
      <c r="J29" s="21"/>
      <c r="L29" s="116"/>
    </row>
    <row r="30" spans="1:12" x14ac:dyDescent="0.2">
      <c r="A30" s="26"/>
      <c r="B30" s="27" t="s">
        <v>27</v>
      </c>
      <c r="C30" s="118">
        <f>SUM(C18:C27)</f>
        <v>882</v>
      </c>
      <c r="D30" s="119">
        <f>SUM(D18:D27)</f>
        <v>968</v>
      </c>
      <c r="E30" s="118">
        <f>SUM(E18:E27)</f>
        <v>974.2700000000001</v>
      </c>
      <c r="F30" s="113">
        <f t="shared" ref="F30:J30" si="2">SUM(F18:F27)</f>
        <v>985.81984999999997</v>
      </c>
      <c r="G30" s="113">
        <f t="shared" si="2"/>
        <v>992.105816</v>
      </c>
      <c r="H30" s="119">
        <f t="shared" si="2"/>
        <v>1004.90937582</v>
      </c>
      <c r="I30" s="118">
        <f t="shared" si="2"/>
        <v>1014.5484695782</v>
      </c>
      <c r="J30" s="119">
        <f t="shared" si="2"/>
        <v>1027.6592623507311</v>
      </c>
    </row>
    <row r="31" spans="1:12" x14ac:dyDescent="0.2">
      <c r="A31" s="31"/>
      <c r="B31" s="32"/>
      <c r="C31" s="33"/>
      <c r="D31" s="34"/>
      <c r="E31" s="33"/>
      <c r="F31" s="35"/>
      <c r="G31" s="35"/>
      <c r="H31" s="34"/>
      <c r="I31" s="35"/>
      <c r="J31" s="34"/>
    </row>
    <row r="34" spans="1:12" x14ac:dyDescent="0.2">
      <c r="A34" s="19"/>
      <c r="B34" s="20"/>
      <c r="C34" s="22"/>
      <c r="D34" s="22"/>
      <c r="E34" s="22"/>
      <c r="F34" s="22"/>
      <c r="G34" s="22"/>
      <c r="H34" s="22"/>
      <c r="I34" s="22"/>
      <c r="J34" s="21"/>
    </row>
    <row r="35" spans="1:12" ht="14.25" customHeight="1" x14ac:dyDescent="0.2">
      <c r="A35" s="348" t="s">
        <v>2</v>
      </c>
      <c r="B35" s="380"/>
      <c r="C35" s="113"/>
      <c r="D35" s="113"/>
      <c r="E35" s="113"/>
      <c r="F35" s="113"/>
      <c r="G35" s="113"/>
      <c r="H35" s="350" t="s">
        <v>85</v>
      </c>
      <c r="I35" s="378"/>
      <c r="J35" s="379"/>
    </row>
    <row r="36" spans="1:12" x14ac:dyDescent="0.2">
      <c r="A36" s="31"/>
      <c r="B36" s="32"/>
      <c r="C36" s="35"/>
      <c r="D36" s="35"/>
      <c r="E36" s="35"/>
      <c r="F36" s="35"/>
      <c r="G36" s="35"/>
      <c r="H36" s="35"/>
      <c r="I36" s="35"/>
      <c r="J36" s="34"/>
    </row>
    <row r="37" spans="1:12" x14ac:dyDescent="0.2">
      <c r="A37" s="19"/>
      <c r="B37" s="20"/>
      <c r="C37" s="23"/>
      <c r="D37" s="21"/>
      <c r="E37" s="23"/>
      <c r="F37" s="22"/>
      <c r="G37" s="22"/>
      <c r="H37" s="21"/>
      <c r="I37" s="22"/>
      <c r="J37" s="21"/>
    </row>
    <row r="38" spans="1:12" x14ac:dyDescent="0.2">
      <c r="A38" s="92" t="s">
        <v>29</v>
      </c>
      <c r="B38" s="71" t="s">
        <v>30</v>
      </c>
      <c r="C38" s="114" t="str">
        <f>Ausgangsdaten!C17</f>
        <v>Rechnung</v>
      </c>
      <c r="D38" s="24" t="s">
        <v>0</v>
      </c>
      <c r="E38" s="371" t="s">
        <v>26</v>
      </c>
      <c r="F38" s="358"/>
      <c r="G38" s="358"/>
      <c r="H38" s="359"/>
      <c r="I38" s="371" t="s">
        <v>66</v>
      </c>
      <c r="J38" s="359"/>
    </row>
    <row r="39" spans="1:12" x14ac:dyDescent="0.2">
      <c r="A39" s="26"/>
      <c r="B39" s="27"/>
      <c r="C39" s="28">
        <f>SUM(Ausgangsdaten!C11)</f>
        <v>2016</v>
      </c>
      <c r="D39" s="29">
        <f>SUM(Ausgangsdaten!C12)</f>
        <v>2017</v>
      </c>
      <c r="E39" s="28">
        <f>SUM(Ausgangsdaten!C13)</f>
        <v>2018</v>
      </c>
      <c r="F39" s="30">
        <f>SUM(E39+1)</f>
        <v>2019</v>
      </c>
      <c r="G39" s="30">
        <f>SUM(F39+1)</f>
        <v>2020</v>
      </c>
      <c r="H39" s="29">
        <f>SUM(G39+1)</f>
        <v>2021</v>
      </c>
      <c r="I39" s="30">
        <f>SUM(H39+1)</f>
        <v>2022</v>
      </c>
      <c r="J39" s="29">
        <f>SUM(I39+1)</f>
        <v>2023</v>
      </c>
    </row>
    <row r="40" spans="1:12" x14ac:dyDescent="0.2">
      <c r="A40" s="31"/>
      <c r="B40" s="32"/>
      <c r="C40" s="33"/>
      <c r="D40" s="34"/>
      <c r="E40" s="33"/>
      <c r="F40" s="35"/>
      <c r="G40" s="35"/>
      <c r="H40" s="34"/>
      <c r="I40" s="35"/>
      <c r="J40" s="34"/>
    </row>
    <row r="41" spans="1:12" x14ac:dyDescent="0.2">
      <c r="A41" s="36"/>
      <c r="B41" s="10"/>
      <c r="C41" s="37"/>
      <c r="D41" s="13"/>
      <c r="E41" s="37"/>
      <c r="F41" s="11"/>
      <c r="G41" s="11"/>
      <c r="H41" s="13"/>
      <c r="I41" s="11"/>
      <c r="J41" s="13"/>
    </row>
    <row r="42" spans="1:12" x14ac:dyDescent="0.2">
      <c r="A42" s="36">
        <v>41</v>
      </c>
      <c r="B42" s="10" t="s">
        <v>21</v>
      </c>
      <c r="C42" s="37">
        <f>'Budgets LR'!G14</f>
        <v>50</v>
      </c>
      <c r="D42" s="13">
        <f>'Budgets LR'!G46</f>
        <v>51</v>
      </c>
      <c r="E42" s="37">
        <f>SUM(D42*Ausgangsdaten!E23)+D42</f>
        <v>51.51</v>
      </c>
      <c r="F42" s="11">
        <f>SUM(E42*Ausgangsdaten!F23)+E42</f>
        <v>52.025099999999995</v>
      </c>
      <c r="G42" s="11">
        <f>SUM(F42*Ausgangsdaten!G23)+F42</f>
        <v>52.545350999999997</v>
      </c>
      <c r="H42" s="11">
        <f>SUM(G42*Ausgangsdaten!H23)+G42</f>
        <v>53.070804509999995</v>
      </c>
      <c r="I42" s="37">
        <f>SUM(H42*Ausgangsdaten!I23)+H42</f>
        <v>53.601512555099994</v>
      </c>
      <c r="J42" s="13">
        <f>SUM(I42*Ausgangsdaten!J23)+I42</f>
        <v>54.137527680650997</v>
      </c>
    </row>
    <row r="43" spans="1:12" x14ac:dyDescent="0.2">
      <c r="A43" s="36">
        <v>42</v>
      </c>
      <c r="B43" s="10" t="s">
        <v>11</v>
      </c>
      <c r="C43" s="37">
        <f>'Budgets LR'!G15</f>
        <v>500</v>
      </c>
      <c r="D43" s="13">
        <f>'Budgets LR'!G47</f>
        <v>590</v>
      </c>
      <c r="E43" s="37">
        <f>'Budgets LR'!G47-'Budgets LR'!G48</f>
        <v>510</v>
      </c>
      <c r="F43" s="11">
        <f t="shared" ref="F43:J43" si="3">E43</f>
        <v>510</v>
      </c>
      <c r="G43" s="11">
        <f t="shared" si="3"/>
        <v>510</v>
      </c>
      <c r="H43" s="11">
        <f t="shared" si="3"/>
        <v>510</v>
      </c>
      <c r="I43" s="37">
        <f t="shared" si="3"/>
        <v>510</v>
      </c>
      <c r="J43" s="13">
        <f t="shared" si="3"/>
        <v>510</v>
      </c>
    </row>
    <row r="44" spans="1:12" x14ac:dyDescent="0.2">
      <c r="A44" s="36">
        <v>43</v>
      </c>
      <c r="B44" s="10" t="s">
        <v>12</v>
      </c>
      <c r="C44" s="37">
        <f>'Budgets LR'!G17</f>
        <v>350</v>
      </c>
      <c r="D44" s="13">
        <f>'Budgets LR'!G49</f>
        <v>350</v>
      </c>
      <c r="E44" s="37">
        <f>SUM(D44*Ausgangsdaten!E23)+D44</f>
        <v>353.5</v>
      </c>
      <c r="F44" s="11">
        <f>SUM(E44*Ausgangsdaten!F23)+E44</f>
        <v>357.03500000000003</v>
      </c>
      <c r="G44" s="11">
        <f>SUM(F44*Ausgangsdaten!G23)+F44</f>
        <v>360.60535000000004</v>
      </c>
      <c r="H44" s="11">
        <f>SUM(G44*Ausgangsdaten!H23)+G44</f>
        <v>364.21140350000002</v>
      </c>
      <c r="I44" s="37">
        <f>SUM(H44*Ausgangsdaten!I23)+H44</f>
        <v>367.85351753500004</v>
      </c>
      <c r="J44" s="13">
        <f>SUM(I44*Ausgangsdaten!J23)+I44</f>
        <v>371.53205271035006</v>
      </c>
    </row>
    <row r="45" spans="1:12" x14ac:dyDescent="0.2">
      <c r="A45" s="36">
        <v>44</v>
      </c>
      <c r="B45" s="10" t="s">
        <v>79</v>
      </c>
      <c r="C45" s="37">
        <f>'Budgets LR'!G18</f>
        <v>0</v>
      </c>
      <c r="D45" s="13">
        <f>'Budgets LR'!G50</f>
        <v>0</v>
      </c>
      <c r="E45" s="120">
        <v>0</v>
      </c>
      <c r="F45" s="121">
        <v>0</v>
      </c>
      <c r="G45" s="121">
        <v>0</v>
      </c>
      <c r="H45" s="122">
        <v>0</v>
      </c>
      <c r="I45" s="121">
        <v>0</v>
      </c>
      <c r="J45" s="122">
        <v>0</v>
      </c>
    </row>
    <row r="46" spans="1:12" x14ac:dyDescent="0.2">
      <c r="A46" s="36">
        <v>45</v>
      </c>
      <c r="B46" s="10" t="s">
        <v>23</v>
      </c>
      <c r="C46" s="37">
        <f>'Budgets LR'!G19</f>
        <v>25</v>
      </c>
      <c r="D46" s="13">
        <f>'Budgets LR'!G51</f>
        <v>10</v>
      </c>
      <c r="E46" s="37">
        <f>SUM(D46+(D46*Ausgangsdaten!E24))</f>
        <v>10.1</v>
      </c>
      <c r="F46" s="11">
        <f>SUM(E46+(E46*Ausgangsdaten!F24))</f>
        <v>10.201000000000001</v>
      </c>
      <c r="G46" s="11">
        <f>SUM(F46+(F46*Ausgangsdaten!G24))</f>
        <v>10.30301</v>
      </c>
      <c r="H46" s="11">
        <f>SUM(G46+(G46*Ausgangsdaten!H24))</f>
        <v>10.4060401</v>
      </c>
      <c r="I46" s="37">
        <f>SUM(H46+(H46*Ausgangsdaten!I24))</f>
        <v>10.510100501</v>
      </c>
      <c r="J46" s="13">
        <f>SUM(I46+(I46*Ausgangsdaten!J24))</f>
        <v>10.615201506010001</v>
      </c>
      <c r="L46" s="116"/>
    </row>
    <row r="47" spans="1:12" x14ac:dyDescent="0.2">
      <c r="A47" s="36">
        <v>46</v>
      </c>
      <c r="B47" s="10" t="s">
        <v>13</v>
      </c>
      <c r="C47" s="37">
        <f>'Budgets LR'!G20</f>
        <v>0</v>
      </c>
      <c r="D47" s="13">
        <f>'Budgets LR'!G52</f>
        <v>20</v>
      </c>
      <c r="E47" s="37">
        <f>SUM(D47*Ausgangsdaten!E25)+D47</f>
        <v>20.3</v>
      </c>
      <c r="F47" s="11">
        <f>SUM(E47*Ausgangsdaten!F25)+E47</f>
        <v>20.604500000000002</v>
      </c>
      <c r="G47" s="11">
        <f>SUM(F47*Ausgangsdaten!G25)+F47</f>
        <v>20.810545000000001</v>
      </c>
      <c r="H47" s="11">
        <f>SUM(G47*Ausgangsdaten!H25)+G47</f>
        <v>21.122703175000002</v>
      </c>
      <c r="I47" s="37">
        <f>SUM(H47*Ausgangsdaten!I25)+H47</f>
        <v>21.333930206750001</v>
      </c>
      <c r="J47" s="13">
        <f>SUM(I47*Ausgangsdaten!J25)+I47</f>
        <v>21.653939159851252</v>
      </c>
      <c r="L47" s="116"/>
    </row>
    <row r="48" spans="1:12" x14ac:dyDescent="0.2">
      <c r="A48" s="36">
        <v>47</v>
      </c>
      <c r="B48" s="10" t="s">
        <v>19</v>
      </c>
      <c r="C48" s="37">
        <f>'Budgets LR'!G21</f>
        <v>15</v>
      </c>
      <c r="D48" s="13">
        <f>'Budgets LR'!G53</f>
        <v>7</v>
      </c>
      <c r="E48" s="37">
        <f t="shared" ref="E48:J48" si="4">D48</f>
        <v>7</v>
      </c>
      <c r="F48" s="11">
        <f t="shared" si="4"/>
        <v>7</v>
      </c>
      <c r="G48" s="11">
        <f t="shared" si="4"/>
        <v>7</v>
      </c>
      <c r="H48" s="11">
        <f t="shared" si="4"/>
        <v>7</v>
      </c>
      <c r="I48" s="37">
        <f t="shared" si="4"/>
        <v>7</v>
      </c>
      <c r="J48" s="13">
        <f t="shared" si="4"/>
        <v>7</v>
      </c>
      <c r="L48" s="116"/>
    </row>
    <row r="49" spans="1:12" x14ac:dyDescent="0.2">
      <c r="A49" s="36">
        <v>48</v>
      </c>
      <c r="B49" s="10" t="s">
        <v>14</v>
      </c>
      <c r="C49" s="37">
        <f>'Budgets LR'!G22</f>
        <v>0</v>
      </c>
      <c r="D49" s="13">
        <f>'Budgets LR'!G54</f>
        <v>0</v>
      </c>
      <c r="E49" s="120">
        <v>0</v>
      </c>
      <c r="F49" s="121">
        <v>0</v>
      </c>
      <c r="G49" s="121">
        <v>0</v>
      </c>
      <c r="H49" s="122">
        <v>0</v>
      </c>
      <c r="I49" s="121">
        <v>0</v>
      </c>
      <c r="J49" s="122">
        <v>0</v>
      </c>
      <c r="L49" s="116"/>
    </row>
    <row r="50" spans="1:12" x14ac:dyDescent="0.2">
      <c r="A50" s="36">
        <v>49</v>
      </c>
      <c r="B50" s="10" t="s">
        <v>20</v>
      </c>
      <c r="C50" s="37">
        <f>'Budgets LR'!G23</f>
        <v>11</v>
      </c>
      <c r="D50" s="13">
        <f>'Budgets LR'!G55</f>
        <v>12</v>
      </c>
      <c r="E50" s="37">
        <f t="shared" ref="E50:J50" si="5">D50</f>
        <v>12</v>
      </c>
      <c r="F50" s="11">
        <f t="shared" si="5"/>
        <v>12</v>
      </c>
      <c r="G50" s="11">
        <f t="shared" si="5"/>
        <v>12</v>
      </c>
      <c r="H50" s="13">
        <f t="shared" si="5"/>
        <v>12</v>
      </c>
      <c r="I50" s="117">
        <f t="shared" si="5"/>
        <v>12</v>
      </c>
      <c r="J50" s="13">
        <f t="shared" si="5"/>
        <v>12</v>
      </c>
      <c r="L50" s="116"/>
    </row>
    <row r="51" spans="1:12" x14ac:dyDescent="0.2">
      <c r="A51" s="36"/>
      <c r="B51" s="10"/>
      <c r="C51" s="37"/>
      <c r="D51" s="13"/>
      <c r="E51" s="37"/>
      <c r="F51" s="11"/>
      <c r="G51" s="11"/>
      <c r="H51" s="13"/>
      <c r="I51" s="117"/>
      <c r="J51" s="13"/>
      <c r="L51" s="116"/>
    </row>
    <row r="52" spans="1:12" x14ac:dyDescent="0.2">
      <c r="A52" s="19"/>
      <c r="B52" s="20"/>
      <c r="C52" s="23"/>
      <c r="D52" s="21"/>
      <c r="E52" s="23"/>
      <c r="F52" s="22"/>
      <c r="G52" s="22"/>
      <c r="H52" s="21"/>
      <c r="I52" s="22"/>
      <c r="J52" s="21"/>
      <c r="L52" s="116"/>
    </row>
    <row r="53" spans="1:12" x14ac:dyDescent="0.2">
      <c r="A53" s="26"/>
      <c r="B53" s="27" t="s">
        <v>28</v>
      </c>
      <c r="C53" s="118">
        <f>SUM(C42:C50)</f>
        <v>951</v>
      </c>
      <c r="D53" s="113">
        <f t="shared" ref="D53:J53" si="6">SUM(D42:D50)</f>
        <v>1040</v>
      </c>
      <c r="E53" s="118">
        <f t="shared" si="6"/>
        <v>964.41</v>
      </c>
      <c r="F53" s="113">
        <f t="shared" si="6"/>
        <v>968.86559999999997</v>
      </c>
      <c r="G53" s="113">
        <f t="shared" si="6"/>
        <v>973.26425600000005</v>
      </c>
      <c r="H53" s="119">
        <f t="shared" si="6"/>
        <v>977.81095128499999</v>
      </c>
      <c r="I53" s="118">
        <f t="shared" si="6"/>
        <v>982.29906079785007</v>
      </c>
      <c r="J53" s="119">
        <f t="shared" si="6"/>
        <v>986.93872105686228</v>
      </c>
    </row>
    <row r="54" spans="1:12" x14ac:dyDescent="0.2">
      <c r="A54" s="31"/>
      <c r="B54" s="32"/>
      <c r="C54" s="33"/>
      <c r="D54" s="34"/>
      <c r="E54" s="33"/>
      <c r="F54" s="35"/>
      <c r="G54" s="35"/>
      <c r="H54" s="34"/>
      <c r="I54" s="33"/>
      <c r="J54" s="34"/>
    </row>
  </sheetData>
  <sheetProtection password="CF85" sheet="1" objects="1" scenarios="1"/>
  <mergeCells count="15">
    <mergeCell ref="I14:J14"/>
    <mergeCell ref="I38:J38"/>
    <mergeCell ref="H11:J11"/>
    <mergeCell ref="H35:J35"/>
    <mergeCell ref="A2:B3"/>
    <mergeCell ref="A5:B6"/>
    <mergeCell ref="C5:C6"/>
    <mergeCell ref="D5:D6"/>
    <mergeCell ref="E5:E6"/>
    <mergeCell ref="C2:J3"/>
    <mergeCell ref="A14:B14"/>
    <mergeCell ref="E14:H14"/>
    <mergeCell ref="E38:H38"/>
    <mergeCell ref="A11:B11"/>
    <mergeCell ref="A35:B35"/>
  </mergeCells>
  <phoneticPr fontId="1" type="noConversion"/>
  <pageMargins left="0.55118110236220474" right="0.43307086614173229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50" zoomScaleNormal="150" workbookViewId="0">
      <selection activeCell="A17" sqref="A17"/>
    </sheetView>
  </sheetViews>
  <sheetFormatPr baseColWidth="10" defaultRowHeight="11.25" x14ac:dyDescent="0.2"/>
  <cols>
    <col min="1" max="1" width="3.5" style="42" customWidth="1"/>
    <col min="2" max="2" width="32.75" style="5" customWidth="1"/>
    <col min="3" max="8" width="5.875" style="8" customWidth="1"/>
    <col min="9" max="9" width="11" style="8"/>
    <col min="10" max="16384" width="11" style="5"/>
  </cols>
  <sheetData>
    <row r="1" spans="1:10" x14ac:dyDescent="0.2">
      <c r="A1" s="1"/>
      <c r="B1" s="2"/>
      <c r="C1" s="3"/>
      <c r="D1" s="2"/>
      <c r="E1" s="91"/>
      <c r="F1" s="2"/>
      <c r="G1" s="3"/>
      <c r="H1" s="111"/>
      <c r="I1" s="5"/>
    </row>
    <row r="2" spans="1:10" ht="14.25" customHeight="1" x14ac:dyDescent="0.4">
      <c r="A2" s="354" t="str">
        <f>Ausgangsdaten!A2</f>
        <v xml:space="preserve">Korporation </v>
      </c>
      <c r="B2" s="355"/>
      <c r="C2" s="372" t="str">
        <f>Ausgangsdaten!C2</f>
        <v>Muster</v>
      </c>
      <c r="D2" s="372"/>
      <c r="E2" s="372"/>
      <c r="F2" s="372"/>
      <c r="G2" s="372"/>
      <c r="H2" s="373"/>
      <c r="I2" s="123"/>
      <c r="J2" s="123"/>
    </row>
    <row r="3" spans="1:10" ht="11.25" customHeight="1" x14ac:dyDescent="0.4">
      <c r="A3" s="354"/>
      <c r="B3" s="355"/>
      <c r="C3" s="372"/>
      <c r="D3" s="372"/>
      <c r="E3" s="372"/>
      <c r="F3" s="372"/>
      <c r="G3" s="372"/>
      <c r="H3" s="373"/>
      <c r="I3" s="123"/>
      <c r="J3" s="123"/>
    </row>
    <row r="4" spans="1:10" ht="11.25" customHeight="1" x14ac:dyDescent="0.25">
      <c r="A4" s="112"/>
      <c r="B4" s="6"/>
      <c r="C4" s="6"/>
      <c r="D4" s="6"/>
      <c r="E4" s="6"/>
      <c r="F4" s="6"/>
      <c r="G4" s="6"/>
      <c r="H4" s="73"/>
      <c r="I4" s="5"/>
    </row>
    <row r="5" spans="1:10" ht="11.25" customHeight="1" x14ac:dyDescent="0.25">
      <c r="A5" s="374" t="str">
        <f>Ausgangsdaten!A4</f>
        <v>Finanzplan</v>
      </c>
      <c r="B5" s="375"/>
      <c r="C5" s="362">
        <f>Ausgangsdaten!C4</f>
        <v>2017</v>
      </c>
      <c r="D5" s="363" t="s">
        <v>62</v>
      </c>
      <c r="E5" s="362">
        <f>Ausgangsdaten!E4</f>
        <v>2021</v>
      </c>
      <c r="F5" s="6"/>
      <c r="G5" s="6"/>
      <c r="H5" s="73"/>
      <c r="I5" s="5"/>
    </row>
    <row r="6" spans="1:10" ht="11.25" customHeight="1" x14ac:dyDescent="0.25">
      <c r="A6" s="374"/>
      <c r="B6" s="375"/>
      <c r="C6" s="363"/>
      <c r="D6" s="363"/>
      <c r="E6" s="363"/>
      <c r="F6" s="6"/>
      <c r="G6" s="6"/>
      <c r="H6" s="73"/>
      <c r="I6" s="5"/>
    </row>
    <row r="7" spans="1:10" x14ac:dyDescent="0.2">
      <c r="A7" s="15"/>
      <c r="B7" s="16"/>
      <c r="C7" s="17"/>
      <c r="D7" s="17"/>
      <c r="E7" s="17"/>
      <c r="F7" s="17"/>
      <c r="G7" s="17"/>
      <c r="H7" s="18"/>
    </row>
    <row r="10" spans="1:10" x14ac:dyDescent="0.2">
      <c r="A10" s="19"/>
      <c r="B10" s="20"/>
      <c r="C10" s="22"/>
      <c r="D10" s="22"/>
      <c r="E10" s="22"/>
      <c r="F10" s="22"/>
      <c r="G10" s="22"/>
      <c r="H10" s="21"/>
    </row>
    <row r="11" spans="1:10" x14ac:dyDescent="0.2">
      <c r="A11" s="124" t="s">
        <v>37</v>
      </c>
      <c r="B11" s="48"/>
      <c r="C11" s="113"/>
      <c r="D11" s="113"/>
      <c r="E11" s="113"/>
      <c r="F11" s="350" t="s">
        <v>85</v>
      </c>
      <c r="G11" s="378"/>
      <c r="H11" s="379"/>
    </row>
    <row r="12" spans="1:10" x14ac:dyDescent="0.2">
      <c r="A12" s="31"/>
      <c r="B12" s="32"/>
      <c r="C12" s="35"/>
      <c r="D12" s="35"/>
      <c r="E12" s="35"/>
      <c r="F12" s="35"/>
      <c r="G12" s="35"/>
      <c r="H12" s="34"/>
    </row>
    <row r="13" spans="1:10" x14ac:dyDescent="0.2">
      <c r="A13" s="19"/>
      <c r="B13" s="20"/>
      <c r="C13" s="23"/>
      <c r="D13" s="22"/>
      <c r="E13" s="22"/>
      <c r="F13" s="21"/>
      <c r="G13" s="22"/>
      <c r="H13" s="21"/>
    </row>
    <row r="14" spans="1:10" s="25" customFormat="1" x14ac:dyDescent="0.2">
      <c r="A14" s="348" t="s">
        <v>15</v>
      </c>
      <c r="B14" s="349"/>
      <c r="C14" s="371" t="s">
        <v>26</v>
      </c>
      <c r="D14" s="358"/>
      <c r="E14" s="358"/>
      <c r="F14" s="359"/>
      <c r="G14" s="371" t="s">
        <v>66</v>
      </c>
      <c r="H14" s="359"/>
      <c r="I14" s="115"/>
    </row>
    <row r="15" spans="1:10" x14ac:dyDescent="0.2">
      <c r="A15" s="26" t="s">
        <v>171</v>
      </c>
      <c r="B15" s="27"/>
      <c r="C15" s="28">
        <f>SUM(Ausgangsdaten!C13)</f>
        <v>2018</v>
      </c>
      <c r="D15" s="30">
        <f>SUM(C15+1)</f>
        <v>2019</v>
      </c>
      <c r="E15" s="30">
        <f t="shared" ref="E15:H15" si="0">SUM(D15+1)</f>
        <v>2020</v>
      </c>
      <c r="F15" s="29">
        <f t="shared" si="0"/>
        <v>2021</v>
      </c>
      <c r="G15" s="30">
        <f t="shared" si="0"/>
        <v>2022</v>
      </c>
      <c r="H15" s="29">
        <f t="shared" si="0"/>
        <v>2023</v>
      </c>
      <c r="I15" s="125"/>
    </row>
    <row r="16" spans="1:10" x14ac:dyDescent="0.2">
      <c r="A16" s="31" t="s">
        <v>172</v>
      </c>
      <c r="B16" s="32"/>
      <c r="C16" s="33"/>
      <c r="D16" s="35"/>
      <c r="E16" s="35"/>
      <c r="F16" s="34"/>
      <c r="G16" s="35"/>
      <c r="H16" s="34"/>
    </row>
    <row r="17" spans="1:8" s="5" customFormat="1" x14ac:dyDescent="0.2">
      <c r="A17" s="127"/>
      <c r="B17" s="128"/>
      <c r="C17" s="120"/>
      <c r="D17" s="121"/>
      <c r="E17" s="121"/>
      <c r="F17" s="122"/>
      <c r="G17" s="121"/>
      <c r="H17" s="122"/>
    </row>
    <row r="18" spans="1:8" s="5" customFormat="1" x14ac:dyDescent="0.2">
      <c r="A18" s="129"/>
      <c r="B18" s="130" t="s">
        <v>122</v>
      </c>
      <c r="C18" s="120">
        <v>11</v>
      </c>
      <c r="D18" s="121">
        <v>12</v>
      </c>
      <c r="E18" s="121">
        <v>-20</v>
      </c>
      <c r="F18" s="122">
        <v>-20</v>
      </c>
      <c r="G18" s="121">
        <v>-20</v>
      </c>
      <c r="H18" s="122">
        <v>-20</v>
      </c>
    </row>
    <row r="19" spans="1:8" s="5" customFormat="1" x14ac:dyDescent="0.2">
      <c r="A19" s="131"/>
      <c r="B19" s="132"/>
      <c r="C19" s="120"/>
      <c r="D19" s="121"/>
      <c r="E19" s="121"/>
      <c r="F19" s="122"/>
      <c r="G19" s="121"/>
      <c r="H19" s="122"/>
    </row>
    <row r="20" spans="1:8" s="5" customFormat="1" x14ac:dyDescent="0.2">
      <c r="A20" s="131"/>
      <c r="B20" s="130" t="s">
        <v>137</v>
      </c>
      <c r="C20" s="120"/>
      <c r="D20" s="121">
        <v>-50</v>
      </c>
      <c r="E20" s="121">
        <v>-50</v>
      </c>
      <c r="F20" s="122">
        <v>-50</v>
      </c>
      <c r="G20" s="121">
        <v>-50</v>
      </c>
      <c r="H20" s="122">
        <v>-50</v>
      </c>
    </row>
    <row r="21" spans="1:8" s="5" customFormat="1" x14ac:dyDescent="0.2">
      <c r="A21" s="131"/>
      <c r="B21" s="132"/>
      <c r="C21" s="120"/>
      <c r="D21" s="121"/>
      <c r="E21" s="121"/>
      <c r="F21" s="122"/>
      <c r="G21" s="121"/>
      <c r="H21" s="122"/>
    </row>
    <row r="22" spans="1:8" s="5" customFormat="1" x14ac:dyDescent="0.2">
      <c r="A22" s="131"/>
      <c r="B22" s="128"/>
      <c r="C22" s="120"/>
      <c r="D22" s="121"/>
      <c r="E22" s="121"/>
      <c r="F22" s="122"/>
      <c r="G22" s="121"/>
      <c r="H22" s="122"/>
    </row>
    <row r="23" spans="1:8" s="5" customFormat="1" x14ac:dyDescent="0.2">
      <c r="A23" s="131"/>
      <c r="B23" s="128"/>
      <c r="C23" s="120"/>
      <c r="D23" s="121"/>
      <c r="E23" s="121"/>
      <c r="F23" s="122"/>
      <c r="G23" s="121"/>
      <c r="H23" s="122"/>
    </row>
    <row r="24" spans="1:8" s="5" customFormat="1" x14ac:dyDescent="0.2">
      <c r="A24" s="131"/>
      <c r="B24" s="128"/>
      <c r="C24" s="120"/>
      <c r="D24" s="121"/>
      <c r="E24" s="121"/>
      <c r="F24" s="122"/>
      <c r="G24" s="121"/>
      <c r="H24" s="122"/>
    </row>
    <row r="25" spans="1:8" s="5" customFormat="1" x14ac:dyDescent="0.2">
      <c r="A25" s="131"/>
      <c r="B25" s="128"/>
      <c r="C25" s="120"/>
      <c r="D25" s="121"/>
      <c r="E25" s="121"/>
      <c r="F25" s="122"/>
      <c r="G25" s="121"/>
      <c r="H25" s="122"/>
    </row>
    <row r="26" spans="1:8" s="5" customFormat="1" x14ac:dyDescent="0.2">
      <c r="A26" s="131"/>
      <c r="B26" s="128"/>
      <c r="C26" s="120"/>
      <c r="D26" s="121"/>
      <c r="E26" s="121"/>
      <c r="F26" s="122"/>
      <c r="G26" s="121"/>
      <c r="H26" s="122"/>
    </row>
    <row r="27" spans="1:8" s="5" customFormat="1" x14ac:dyDescent="0.2">
      <c r="A27" s="131"/>
      <c r="B27" s="128"/>
      <c r="C27" s="120"/>
      <c r="D27" s="121"/>
      <c r="E27" s="121"/>
      <c r="F27" s="122"/>
      <c r="G27" s="121"/>
      <c r="H27" s="122"/>
    </row>
    <row r="28" spans="1:8" s="5" customFormat="1" x14ac:dyDescent="0.2">
      <c r="A28" s="131"/>
      <c r="B28" s="128"/>
      <c r="C28" s="120"/>
      <c r="D28" s="121"/>
      <c r="E28" s="121"/>
      <c r="F28" s="122"/>
      <c r="G28" s="121"/>
      <c r="H28" s="122"/>
    </row>
    <row r="29" spans="1:8" s="5" customFormat="1" x14ac:dyDescent="0.2">
      <c r="A29" s="131"/>
      <c r="B29" s="128"/>
      <c r="C29" s="120"/>
      <c r="D29" s="121"/>
      <c r="E29" s="121"/>
      <c r="F29" s="122"/>
      <c r="G29" s="121"/>
      <c r="H29" s="122"/>
    </row>
    <row r="30" spans="1:8" s="5" customFormat="1" x14ac:dyDescent="0.2">
      <c r="A30" s="131"/>
      <c r="B30" s="128"/>
      <c r="C30" s="120"/>
      <c r="D30" s="121"/>
      <c r="E30" s="121"/>
      <c r="F30" s="122"/>
      <c r="G30" s="121"/>
      <c r="H30" s="122"/>
    </row>
    <row r="31" spans="1:8" s="5" customFormat="1" x14ac:dyDescent="0.2">
      <c r="A31" s="131"/>
      <c r="B31" s="128"/>
      <c r="C31" s="120"/>
      <c r="D31" s="121"/>
      <c r="E31" s="121"/>
      <c r="F31" s="122"/>
      <c r="G31" s="121"/>
      <c r="H31" s="122"/>
    </row>
    <row r="32" spans="1:8" s="5" customFormat="1" x14ac:dyDescent="0.2">
      <c r="A32" s="131"/>
      <c r="B32" s="128"/>
      <c r="C32" s="120"/>
      <c r="D32" s="121"/>
      <c r="E32" s="121"/>
      <c r="F32" s="122"/>
      <c r="G32" s="121"/>
      <c r="H32" s="122"/>
    </row>
    <row r="33" spans="1:9" x14ac:dyDescent="0.2">
      <c r="A33" s="131"/>
      <c r="B33" s="128"/>
      <c r="C33" s="120"/>
      <c r="D33" s="121"/>
      <c r="E33" s="121"/>
      <c r="F33" s="122"/>
      <c r="G33" s="121"/>
      <c r="H33" s="122"/>
      <c r="I33" s="5"/>
    </row>
    <row r="34" spans="1:9" x14ac:dyDescent="0.2">
      <c r="A34" s="131"/>
      <c r="B34" s="128"/>
      <c r="C34" s="120"/>
      <c r="D34" s="121"/>
      <c r="E34" s="121"/>
      <c r="F34" s="122"/>
      <c r="G34" s="121"/>
      <c r="H34" s="122"/>
      <c r="I34" s="5"/>
    </row>
    <row r="35" spans="1:9" x14ac:dyDescent="0.2">
      <c r="A35" s="131"/>
      <c r="B35" s="128"/>
      <c r="C35" s="120"/>
      <c r="D35" s="121"/>
      <c r="E35" s="121"/>
      <c r="F35" s="122"/>
      <c r="G35" s="121"/>
      <c r="H35" s="122"/>
      <c r="I35" s="5"/>
    </row>
    <row r="36" spans="1:9" x14ac:dyDescent="0.2">
      <c r="A36" s="131"/>
      <c r="B36" s="128"/>
      <c r="C36" s="133"/>
      <c r="D36" s="134"/>
      <c r="E36" s="134"/>
      <c r="F36" s="135"/>
      <c r="G36" s="121"/>
      <c r="H36" s="122"/>
      <c r="I36" s="5"/>
    </row>
    <row r="37" spans="1:9" x14ac:dyDescent="0.2">
      <c r="A37" s="136"/>
      <c r="B37" s="128"/>
      <c r="C37" s="120"/>
      <c r="D37" s="121"/>
      <c r="E37" s="121"/>
      <c r="F37" s="122"/>
      <c r="G37" s="121"/>
      <c r="H37" s="122"/>
      <c r="I37" s="5"/>
    </row>
    <row r="38" spans="1:9" x14ac:dyDescent="0.2">
      <c r="A38" s="19"/>
      <c r="B38" s="20"/>
      <c r="C38" s="23"/>
      <c r="D38" s="22"/>
      <c r="E38" s="22"/>
      <c r="F38" s="21"/>
      <c r="G38" s="22"/>
      <c r="H38" s="21"/>
      <c r="I38" s="5"/>
    </row>
    <row r="39" spans="1:9" x14ac:dyDescent="0.2">
      <c r="A39" s="126" t="s">
        <v>38</v>
      </c>
      <c r="B39" s="27"/>
      <c r="C39" s="118">
        <f>SUM(C17:C37)</f>
        <v>11</v>
      </c>
      <c r="D39" s="113">
        <f t="shared" ref="D39:H39" si="1">SUM(D17:D37)</f>
        <v>-38</v>
      </c>
      <c r="E39" s="113">
        <f t="shared" si="1"/>
        <v>-70</v>
      </c>
      <c r="F39" s="119">
        <f t="shared" si="1"/>
        <v>-70</v>
      </c>
      <c r="G39" s="118">
        <f t="shared" si="1"/>
        <v>-70</v>
      </c>
      <c r="H39" s="119">
        <f t="shared" si="1"/>
        <v>-70</v>
      </c>
      <c r="I39" s="95"/>
    </row>
    <row r="40" spans="1:9" x14ac:dyDescent="0.2">
      <c r="A40" s="31"/>
      <c r="B40" s="32"/>
      <c r="C40" s="33"/>
      <c r="D40" s="35"/>
      <c r="E40" s="35"/>
      <c r="F40" s="34"/>
      <c r="G40" s="35"/>
      <c r="H40" s="34"/>
      <c r="I40" s="5"/>
    </row>
    <row r="41" spans="1:9" x14ac:dyDescent="0.2">
      <c r="I41" s="5"/>
    </row>
    <row r="42" spans="1:9" x14ac:dyDescent="0.2">
      <c r="I42" s="5"/>
    </row>
    <row r="43" spans="1:9" x14ac:dyDescent="0.2">
      <c r="I43" s="5"/>
    </row>
    <row r="44" spans="1:9" x14ac:dyDescent="0.2">
      <c r="I44" s="5"/>
    </row>
    <row r="45" spans="1:9" x14ac:dyDescent="0.2">
      <c r="I45" s="5"/>
    </row>
    <row r="46" spans="1:9" x14ac:dyDescent="0.2">
      <c r="I46" s="5"/>
    </row>
    <row r="47" spans="1:9" x14ac:dyDescent="0.2">
      <c r="I47" s="5"/>
    </row>
  </sheetData>
  <sheetProtection password="CF85" sheet="1" objects="1" scenarios="1"/>
  <mergeCells count="10">
    <mergeCell ref="A14:B14"/>
    <mergeCell ref="C14:F14"/>
    <mergeCell ref="A2:B3"/>
    <mergeCell ref="A5:B6"/>
    <mergeCell ref="C5:C6"/>
    <mergeCell ref="D5:D6"/>
    <mergeCell ref="E5:E6"/>
    <mergeCell ref="C2:H3"/>
    <mergeCell ref="G14:H14"/>
    <mergeCell ref="F11:H11"/>
  </mergeCells>
  <phoneticPr fontId="1" type="noConversion"/>
  <pageMargins left="0.55118110236220474" right="0.43307086614173229" top="0.98425196850393704" bottom="0.98425196850393704" header="0.51181102362204722" footer="0.51181102362204722"/>
  <pageSetup paperSize="9" orientation="portrait" r:id="rId1"/>
  <headerFooter alignWithMargins="0">
    <oddFooter>&amp;R&amp;D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9"/>
  <sheetViews>
    <sheetView topLeftCell="A66" zoomScale="150" zoomScaleNormal="150" workbookViewId="0">
      <selection activeCell="E83" sqref="E83"/>
    </sheetView>
  </sheetViews>
  <sheetFormatPr baseColWidth="10" defaultRowHeight="11.25" x14ac:dyDescent="0.2"/>
  <cols>
    <col min="1" max="1" width="3.5" style="42" customWidth="1"/>
    <col min="2" max="2" width="33.25" style="5" customWidth="1"/>
    <col min="3" max="3" width="7.625" style="5" customWidth="1"/>
    <col min="4" max="4" width="7.5" style="5" bestFit="1" customWidth="1"/>
    <col min="5" max="10" width="6.5" style="8" bestFit="1" customWidth="1"/>
    <col min="11" max="11" width="11" style="8"/>
    <col min="12" max="12" width="4" style="5" customWidth="1"/>
    <col min="13" max="13" width="4.625" style="5" bestFit="1" customWidth="1"/>
    <col min="14" max="18" width="4" style="5" customWidth="1"/>
    <col min="19" max="16384" width="11" style="5"/>
  </cols>
  <sheetData>
    <row r="1" spans="1:33" x14ac:dyDescent="0.2">
      <c r="A1" s="1"/>
      <c r="B1" s="2"/>
      <c r="C1" s="2"/>
      <c r="D1" s="2"/>
      <c r="E1" s="3"/>
      <c r="F1" s="2"/>
      <c r="G1" s="91"/>
      <c r="H1" s="2"/>
      <c r="I1" s="3"/>
      <c r="J1" s="111"/>
      <c r="K1" s="5"/>
    </row>
    <row r="2" spans="1:33" ht="14.25" customHeight="1" x14ac:dyDescent="0.4">
      <c r="A2" s="354" t="str">
        <f>Ausgangsdaten!A2</f>
        <v xml:space="preserve">Korporation </v>
      </c>
      <c r="B2" s="355"/>
      <c r="C2" s="137"/>
      <c r="D2" s="137"/>
      <c r="E2" s="372" t="str">
        <f>Ausgangsdaten!C2</f>
        <v>Muster</v>
      </c>
      <c r="F2" s="372"/>
      <c r="G2" s="372"/>
      <c r="H2" s="372"/>
      <c r="I2" s="372"/>
      <c r="J2" s="373"/>
      <c r="K2" s="123"/>
      <c r="L2" s="123"/>
      <c r="M2" s="123"/>
      <c r="N2" s="123"/>
      <c r="O2" s="123"/>
      <c r="P2" s="123"/>
      <c r="Q2" s="123"/>
      <c r="R2" s="123"/>
    </row>
    <row r="3" spans="1:33" ht="11.25" customHeight="1" x14ac:dyDescent="0.4">
      <c r="A3" s="354"/>
      <c r="B3" s="355"/>
      <c r="C3" s="137"/>
      <c r="D3" s="137"/>
      <c r="E3" s="372"/>
      <c r="F3" s="372"/>
      <c r="G3" s="372"/>
      <c r="H3" s="372"/>
      <c r="I3" s="372"/>
      <c r="J3" s="373"/>
      <c r="K3" s="123"/>
      <c r="L3" s="123"/>
      <c r="M3" s="123"/>
      <c r="N3" s="123"/>
      <c r="O3" s="123"/>
      <c r="P3" s="123"/>
      <c r="Q3" s="123"/>
      <c r="R3" s="123"/>
    </row>
    <row r="4" spans="1:33" ht="11.25" customHeight="1" x14ac:dyDescent="0.25">
      <c r="A4" s="112"/>
      <c r="B4" s="6"/>
      <c r="C4" s="6"/>
      <c r="D4" s="6"/>
      <c r="E4" s="6"/>
      <c r="F4" s="6"/>
      <c r="G4" s="6"/>
      <c r="H4" s="6"/>
      <c r="I4" s="6"/>
      <c r="J4" s="73"/>
      <c r="K4" s="5"/>
    </row>
    <row r="5" spans="1:33" ht="11.25" customHeight="1" x14ac:dyDescent="0.25">
      <c r="A5" s="374" t="str">
        <f>Ausgangsdaten!A4</f>
        <v>Finanzplan</v>
      </c>
      <c r="B5" s="375"/>
      <c r="C5" s="138"/>
      <c r="D5" s="138"/>
      <c r="E5" s="362">
        <f>Ausgangsdaten!C4</f>
        <v>2017</v>
      </c>
      <c r="F5" s="363" t="s">
        <v>62</v>
      </c>
      <c r="G5" s="362">
        <f>Ausgangsdaten!E4</f>
        <v>2021</v>
      </c>
      <c r="H5" s="6"/>
      <c r="I5" s="6"/>
      <c r="J5" s="73"/>
      <c r="K5" s="5"/>
    </row>
    <row r="6" spans="1:33" ht="11.25" customHeight="1" x14ac:dyDescent="0.25">
      <c r="A6" s="374"/>
      <c r="B6" s="375"/>
      <c r="C6" s="138"/>
      <c r="D6" s="138"/>
      <c r="E6" s="363"/>
      <c r="F6" s="363"/>
      <c r="G6" s="363"/>
      <c r="H6" s="6"/>
      <c r="I6" s="6"/>
      <c r="J6" s="73"/>
      <c r="K6" s="5"/>
    </row>
    <row r="7" spans="1:33" x14ac:dyDescent="0.2">
      <c r="A7" s="15"/>
      <c r="B7" s="16"/>
      <c r="C7" s="16"/>
      <c r="D7" s="16"/>
      <c r="E7" s="17"/>
      <c r="F7" s="17"/>
      <c r="G7" s="17"/>
      <c r="H7" s="17"/>
      <c r="I7" s="17"/>
      <c r="J7" s="18"/>
    </row>
    <row r="10" spans="1:33" ht="14.25" customHeight="1" x14ac:dyDescent="0.2">
      <c r="A10" s="19"/>
      <c r="B10" s="20"/>
      <c r="C10" s="20"/>
      <c r="D10" s="20"/>
      <c r="E10" s="22"/>
      <c r="F10" s="22"/>
      <c r="G10" s="22"/>
      <c r="H10" s="22"/>
      <c r="I10" s="22"/>
      <c r="J10" s="21"/>
    </row>
    <row r="11" spans="1:33" x14ac:dyDescent="0.2">
      <c r="A11" s="139" t="str">
        <f>"Veränderung der Zinsbelastung im Folgejahr gegenüber dem Budget "&amp;Ausgangsdaten!C12</f>
        <v>Veränderung der Zinsbelastung im Folgejahr gegenüber dem Budget 2017</v>
      </c>
      <c r="B11" s="140"/>
      <c r="C11" s="140"/>
      <c r="D11" s="71"/>
      <c r="E11" s="113"/>
      <c r="F11" s="113"/>
      <c r="G11" s="113"/>
      <c r="H11" s="350" t="s">
        <v>85</v>
      </c>
      <c r="I11" s="378"/>
      <c r="J11" s="379"/>
    </row>
    <row r="12" spans="1:33" x14ac:dyDescent="0.2">
      <c r="A12" s="31"/>
      <c r="B12" s="32"/>
      <c r="C12" s="32"/>
      <c r="D12" s="32"/>
      <c r="E12" s="35"/>
      <c r="F12" s="35"/>
      <c r="G12" s="35"/>
      <c r="H12" s="35"/>
      <c r="I12" s="35"/>
      <c r="J12" s="34"/>
    </row>
    <row r="13" spans="1:33" ht="14.25" customHeight="1" x14ac:dyDescent="0.2">
      <c r="A13" s="19"/>
      <c r="B13" s="20"/>
      <c r="C13" s="141"/>
      <c r="D13" s="141"/>
      <c r="E13" s="23"/>
      <c r="F13" s="22"/>
      <c r="G13" s="22"/>
      <c r="H13" s="21"/>
      <c r="I13" s="22"/>
      <c r="J13" s="21"/>
    </row>
    <row r="14" spans="1:33" s="25" customFormat="1" x14ac:dyDescent="0.2">
      <c r="A14" s="396" t="s">
        <v>144</v>
      </c>
      <c r="B14" s="349"/>
      <c r="C14" s="142" t="s">
        <v>145</v>
      </c>
      <c r="D14" s="143" t="s">
        <v>0</v>
      </c>
      <c r="E14" s="371" t="s">
        <v>26</v>
      </c>
      <c r="F14" s="358"/>
      <c r="G14" s="358"/>
      <c r="H14" s="359"/>
      <c r="I14" s="371" t="s">
        <v>66</v>
      </c>
      <c r="J14" s="359"/>
      <c r="K14" s="5"/>
      <c r="L14" s="144" t="s">
        <v>118</v>
      </c>
      <c r="M14" s="145"/>
      <c r="N14" s="145"/>
      <c r="O14" s="145"/>
      <c r="P14" s="145"/>
      <c r="Q14" s="145"/>
      <c r="R14" s="14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">
      <c r="A15" s="26" t="s">
        <v>147</v>
      </c>
      <c r="B15" s="27"/>
      <c r="C15" s="147" t="s">
        <v>146</v>
      </c>
      <c r="D15" s="148">
        <f>E15-1</f>
        <v>2017</v>
      </c>
      <c r="E15" s="28">
        <f>SUM(Ausgangsdaten!C13)</f>
        <v>2018</v>
      </c>
      <c r="F15" s="30">
        <f>E15+1</f>
        <v>2019</v>
      </c>
      <c r="G15" s="30">
        <f>E15+2</f>
        <v>2020</v>
      </c>
      <c r="H15" s="29">
        <f>E15+3</f>
        <v>2021</v>
      </c>
      <c r="I15" s="30">
        <f>E15+4</f>
        <v>2022</v>
      </c>
      <c r="J15" s="29">
        <f>E15+5</f>
        <v>2023</v>
      </c>
      <c r="K15" s="5"/>
      <c r="L15" s="149">
        <f t="shared" ref="L15:R15" si="0">D15</f>
        <v>2017</v>
      </c>
      <c r="M15" s="149">
        <f t="shared" si="0"/>
        <v>2018</v>
      </c>
      <c r="N15" s="149">
        <f t="shared" si="0"/>
        <v>2019</v>
      </c>
      <c r="O15" s="149">
        <f t="shared" si="0"/>
        <v>2020</v>
      </c>
      <c r="P15" s="149">
        <f t="shared" si="0"/>
        <v>2021</v>
      </c>
      <c r="Q15" s="149">
        <f t="shared" si="0"/>
        <v>2022</v>
      </c>
      <c r="R15" s="149">
        <f t="shared" si="0"/>
        <v>2023</v>
      </c>
    </row>
    <row r="16" spans="1:33" x14ac:dyDescent="0.2">
      <c r="A16" s="215"/>
      <c r="B16" s="216"/>
      <c r="C16" s="225"/>
      <c r="D16" s="222"/>
      <c r="E16" s="215"/>
      <c r="F16" s="216"/>
      <c r="G16" s="216"/>
      <c r="H16" s="224"/>
      <c r="I16" s="216"/>
      <c r="J16" s="224"/>
      <c r="K16" s="5"/>
      <c r="L16" s="150">
        <f t="shared" ref="L16:L26" si="1">$C16*D16</f>
        <v>0</v>
      </c>
      <c r="M16" s="150">
        <f t="shared" ref="M16:M26" si="2">$C16*E16</f>
        <v>0</v>
      </c>
      <c r="N16" s="150">
        <f t="shared" ref="N16:N26" si="3">$C16*F16</f>
        <v>0</v>
      </c>
      <c r="O16" s="150">
        <f t="shared" ref="O16:O26" si="4">$C16*G16</f>
        <v>0</v>
      </c>
      <c r="P16" s="150">
        <f t="shared" ref="P16:P26" si="5">$C16*H16</f>
        <v>0</v>
      </c>
      <c r="Q16" s="150">
        <f t="shared" ref="Q16:Q26" si="6">$C16*I16</f>
        <v>0</v>
      </c>
      <c r="R16" s="151">
        <f t="shared" ref="R16:R26" si="7">$C16*J16</f>
        <v>0</v>
      </c>
    </row>
    <row r="17" spans="1:33" x14ac:dyDescent="0.2">
      <c r="A17" s="217" t="s">
        <v>129</v>
      </c>
      <c r="B17" s="218" t="s">
        <v>139</v>
      </c>
      <c r="C17" s="228">
        <v>0.01</v>
      </c>
      <c r="D17" s="221">
        <v>150</v>
      </c>
      <c r="E17" s="217"/>
      <c r="F17" s="218">
        <v>100</v>
      </c>
      <c r="G17" s="218"/>
      <c r="H17" s="221"/>
      <c r="I17" s="218"/>
      <c r="J17" s="221"/>
      <c r="K17" s="5"/>
      <c r="L17" s="341">
        <f t="shared" si="1"/>
        <v>1.5</v>
      </c>
      <c r="M17" s="340">
        <f t="shared" si="2"/>
        <v>0</v>
      </c>
      <c r="N17" s="150">
        <f t="shared" si="3"/>
        <v>1</v>
      </c>
      <c r="O17" s="150">
        <f t="shared" si="4"/>
        <v>0</v>
      </c>
      <c r="P17" s="150">
        <f t="shared" si="5"/>
        <v>0</v>
      </c>
      <c r="Q17" s="150">
        <f t="shared" si="6"/>
        <v>0</v>
      </c>
      <c r="R17" s="151">
        <f t="shared" si="7"/>
        <v>0</v>
      </c>
    </row>
    <row r="18" spans="1:33" x14ac:dyDescent="0.2">
      <c r="A18" s="217" t="s">
        <v>140</v>
      </c>
      <c r="B18" s="218"/>
      <c r="C18" s="228">
        <v>3.7999999999999999E-2</v>
      </c>
      <c r="D18" s="221"/>
      <c r="E18" s="217"/>
      <c r="F18" s="218"/>
      <c r="G18" s="218">
        <v>1000</v>
      </c>
      <c r="H18" s="221"/>
      <c r="I18" s="218"/>
      <c r="J18" s="221"/>
      <c r="K18" s="5"/>
      <c r="L18" s="150">
        <f t="shared" si="1"/>
        <v>0</v>
      </c>
      <c r="M18" s="150">
        <f t="shared" si="2"/>
        <v>0</v>
      </c>
      <c r="N18" s="150">
        <f t="shared" si="3"/>
        <v>0</v>
      </c>
      <c r="O18" s="150">
        <f t="shared" si="4"/>
        <v>38</v>
      </c>
      <c r="P18" s="150">
        <f t="shared" si="5"/>
        <v>0</v>
      </c>
      <c r="Q18" s="150">
        <f t="shared" si="6"/>
        <v>0</v>
      </c>
      <c r="R18" s="151">
        <f t="shared" si="7"/>
        <v>0</v>
      </c>
    </row>
    <row r="19" spans="1:33" x14ac:dyDescent="0.2">
      <c r="A19" s="217" t="s">
        <v>141</v>
      </c>
      <c r="B19" s="218"/>
      <c r="C19" s="228">
        <v>5.0000000000000001E-3</v>
      </c>
      <c r="D19" s="221"/>
      <c r="E19" s="217">
        <v>250</v>
      </c>
      <c r="F19" s="218"/>
      <c r="G19" s="218"/>
      <c r="H19" s="221">
        <v>250</v>
      </c>
      <c r="I19" s="218"/>
      <c r="J19" s="221"/>
      <c r="K19" s="5"/>
      <c r="L19" s="150">
        <f t="shared" si="1"/>
        <v>0</v>
      </c>
      <c r="M19" s="150">
        <f t="shared" si="2"/>
        <v>1.25</v>
      </c>
      <c r="N19" s="150">
        <f t="shared" si="3"/>
        <v>0</v>
      </c>
      <c r="O19" s="150">
        <f t="shared" si="4"/>
        <v>0</v>
      </c>
      <c r="P19" s="150">
        <f t="shared" si="5"/>
        <v>1.25</v>
      </c>
      <c r="Q19" s="150">
        <f t="shared" si="6"/>
        <v>0</v>
      </c>
      <c r="R19" s="151">
        <f t="shared" si="7"/>
        <v>0</v>
      </c>
    </row>
    <row r="20" spans="1:33" x14ac:dyDescent="0.2">
      <c r="A20" s="217"/>
      <c r="B20" s="218"/>
      <c r="C20" s="228"/>
      <c r="D20" s="221"/>
      <c r="E20" s="217"/>
      <c r="F20" s="218"/>
      <c r="G20" s="218"/>
      <c r="H20" s="221"/>
      <c r="I20" s="218"/>
      <c r="J20" s="221"/>
      <c r="K20" s="5"/>
      <c r="L20" s="150">
        <f t="shared" si="1"/>
        <v>0</v>
      </c>
      <c r="M20" s="150">
        <f t="shared" si="2"/>
        <v>0</v>
      </c>
      <c r="N20" s="150">
        <f t="shared" si="3"/>
        <v>0</v>
      </c>
      <c r="O20" s="150">
        <f t="shared" si="4"/>
        <v>0</v>
      </c>
      <c r="P20" s="150">
        <f t="shared" si="5"/>
        <v>0</v>
      </c>
      <c r="Q20" s="150">
        <f t="shared" si="6"/>
        <v>0</v>
      </c>
      <c r="R20" s="151">
        <f t="shared" si="7"/>
        <v>0</v>
      </c>
    </row>
    <row r="21" spans="1:33" x14ac:dyDescent="0.2">
      <c r="A21" s="217"/>
      <c r="B21" s="218"/>
      <c r="C21" s="228"/>
      <c r="D21" s="221"/>
      <c r="E21" s="217"/>
      <c r="F21" s="218"/>
      <c r="G21" s="218"/>
      <c r="H21" s="221"/>
      <c r="I21" s="218"/>
      <c r="J21" s="221"/>
      <c r="K21" s="5"/>
      <c r="L21" s="150">
        <f t="shared" si="1"/>
        <v>0</v>
      </c>
      <c r="M21" s="150">
        <f t="shared" si="2"/>
        <v>0</v>
      </c>
      <c r="N21" s="150">
        <f t="shared" si="3"/>
        <v>0</v>
      </c>
      <c r="O21" s="150">
        <f t="shared" si="4"/>
        <v>0</v>
      </c>
      <c r="P21" s="150">
        <f t="shared" si="5"/>
        <v>0</v>
      </c>
      <c r="Q21" s="150">
        <f t="shared" si="6"/>
        <v>0</v>
      </c>
      <c r="R21" s="151">
        <f t="shared" si="7"/>
        <v>0</v>
      </c>
    </row>
    <row r="22" spans="1:33" x14ac:dyDescent="0.2">
      <c r="A22" s="217"/>
      <c r="B22" s="218"/>
      <c r="C22" s="228"/>
      <c r="D22" s="221"/>
      <c r="E22" s="217"/>
      <c r="F22" s="218"/>
      <c r="G22" s="218"/>
      <c r="H22" s="221"/>
      <c r="I22" s="218"/>
      <c r="J22" s="221"/>
      <c r="K22" s="5"/>
      <c r="L22" s="150">
        <f t="shared" si="1"/>
        <v>0</v>
      </c>
      <c r="M22" s="150">
        <f t="shared" si="2"/>
        <v>0</v>
      </c>
      <c r="N22" s="150">
        <f t="shared" si="3"/>
        <v>0</v>
      </c>
      <c r="O22" s="150">
        <f t="shared" si="4"/>
        <v>0</v>
      </c>
      <c r="P22" s="150">
        <f t="shared" si="5"/>
        <v>0</v>
      </c>
      <c r="Q22" s="150">
        <f t="shared" si="6"/>
        <v>0</v>
      </c>
      <c r="R22" s="151">
        <f t="shared" si="7"/>
        <v>0</v>
      </c>
    </row>
    <row r="23" spans="1:33" x14ac:dyDescent="0.2">
      <c r="A23" s="217"/>
      <c r="B23" s="218"/>
      <c r="C23" s="228"/>
      <c r="D23" s="221"/>
      <c r="E23" s="217"/>
      <c r="F23" s="218"/>
      <c r="G23" s="218"/>
      <c r="H23" s="221"/>
      <c r="I23" s="218"/>
      <c r="J23" s="221"/>
      <c r="K23" s="5"/>
      <c r="L23" s="150">
        <f t="shared" si="1"/>
        <v>0</v>
      </c>
      <c r="M23" s="150">
        <f t="shared" si="2"/>
        <v>0</v>
      </c>
      <c r="N23" s="150">
        <f t="shared" si="3"/>
        <v>0</v>
      </c>
      <c r="O23" s="150">
        <f t="shared" si="4"/>
        <v>0</v>
      </c>
      <c r="P23" s="150">
        <f t="shared" si="5"/>
        <v>0</v>
      </c>
      <c r="Q23" s="150">
        <f t="shared" si="6"/>
        <v>0</v>
      </c>
      <c r="R23" s="151">
        <f t="shared" si="7"/>
        <v>0</v>
      </c>
    </row>
    <row r="24" spans="1:33" x14ac:dyDescent="0.2">
      <c r="A24" s="217"/>
      <c r="B24" s="218"/>
      <c r="C24" s="228"/>
      <c r="D24" s="221"/>
      <c r="E24" s="217"/>
      <c r="F24" s="218"/>
      <c r="G24" s="218"/>
      <c r="H24" s="221"/>
      <c r="I24" s="218"/>
      <c r="J24" s="221"/>
      <c r="K24" s="5"/>
      <c r="L24" s="150">
        <f t="shared" si="1"/>
        <v>0</v>
      </c>
      <c r="M24" s="150">
        <f t="shared" si="2"/>
        <v>0</v>
      </c>
      <c r="N24" s="150">
        <f t="shared" si="3"/>
        <v>0</v>
      </c>
      <c r="O24" s="150">
        <f t="shared" si="4"/>
        <v>0</v>
      </c>
      <c r="P24" s="150">
        <f t="shared" si="5"/>
        <v>0</v>
      </c>
      <c r="Q24" s="150">
        <f t="shared" si="6"/>
        <v>0</v>
      </c>
      <c r="R24" s="151">
        <f t="shared" si="7"/>
        <v>0</v>
      </c>
    </row>
    <row r="25" spans="1:33" x14ac:dyDescent="0.2">
      <c r="A25" s="217"/>
      <c r="B25" s="218"/>
      <c r="C25" s="228"/>
      <c r="D25" s="221"/>
      <c r="E25" s="217"/>
      <c r="F25" s="218"/>
      <c r="G25" s="218"/>
      <c r="H25" s="221"/>
      <c r="I25" s="218"/>
      <c r="J25" s="221"/>
      <c r="K25" s="5"/>
      <c r="L25" s="150">
        <f t="shared" si="1"/>
        <v>0</v>
      </c>
      <c r="M25" s="150">
        <f t="shared" si="2"/>
        <v>0</v>
      </c>
      <c r="N25" s="150">
        <f t="shared" si="3"/>
        <v>0</v>
      </c>
      <c r="O25" s="150">
        <f t="shared" si="4"/>
        <v>0</v>
      </c>
      <c r="P25" s="150">
        <f t="shared" si="5"/>
        <v>0</v>
      </c>
      <c r="Q25" s="150">
        <f t="shared" si="6"/>
        <v>0</v>
      </c>
      <c r="R25" s="151">
        <f t="shared" si="7"/>
        <v>0</v>
      </c>
    </row>
    <row r="26" spans="1:33" x14ac:dyDescent="0.2">
      <c r="A26" s="219"/>
      <c r="B26" s="220"/>
      <c r="C26" s="232"/>
      <c r="D26" s="223"/>
      <c r="E26" s="219"/>
      <c r="F26" s="220"/>
      <c r="G26" s="220"/>
      <c r="H26" s="223"/>
      <c r="I26" s="220"/>
      <c r="J26" s="223"/>
      <c r="K26" s="5"/>
      <c r="L26" s="150">
        <f t="shared" si="1"/>
        <v>0</v>
      </c>
      <c r="M26" s="150">
        <f t="shared" si="2"/>
        <v>0</v>
      </c>
      <c r="N26" s="150">
        <f t="shared" si="3"/>
        <v>0</v>
      </c>
      <c r="O26" s="150">
        <f t="shared" si="4"/>
        <v>0</v>
      </c>
      <c r="P26" s="150">
        <f t="shared" si="5"/>
        <v>0</v>
      </c>
      <c r="Q26" s="150">
        <f t="shared" si="6"/>
        <v>0</v>
      </c>
      <c r="R26" s="151">
        <f t="shared" si="7"/>
        <v>0</v>
      </c>
    </row>
    <row r="27" spans="1:33" x14ac:dyDescent="0.2">
      <c r="A27" s="389" t="s">
        <v>149</v>
      </c>
      <c r="B27" s="390"/>
      <c r="C27" s="152"/>
      <c r="D27" s="153">
        <f t="shared" ref="D27:J27" si="8">L27</f>
        <v>-1.5</v>
      </c>
      <c r="E27" s="154">
        <f t="shared" si="8"/>
        <v>-1.25</v>
      </c>
      <c r="F27" s="155">
        <f t="shared" si="8"/>
        <v>-1</v>
      </c>
      <c r="G27" s="155">
        <f t="shared" si="8"/>
        <v>-38</v>
      </c>
      <c r="H27" s="156">
        <f t="shared" si="8"/>
        <v>-1.25</v>
      </c>
      <c r="I27" s="154">
        <f t="shared" si="8"/>
        <v>0</v>
      </c>
      <c r="J27" s="156">
        <f t="shared" si="8"/>
        <v>0</v>
      </c>
      <c r="K27" s="5"/>
      <c r="L27" s="157">
        <f t="shared" ref="L27:R27" si="9">SUM(L16:L26)*-1</f>
        <v>-1.5</v>
      </c>
      <c r="M27" s="157">
        <f t="shared" si="9"/>
        <v>-1.25</v>
      </c>
      <c r="N27" s="157">
        <f t="shared" si="9"/>
        <v>-1</v>
      </c>
      <c r="O27" s="157">
        <f t="shared" si="9"/>
        <v>-38</v>
      </c>
      <c r="P27" s="157">
        <f t="shared" si="9"/>
        <v>-1.25</v>
      </c>
      <c r="Q27" s="157">
        <f t="shared" si="9"/>
        <v>0</v>
      </c>
      <c r="R27" s="157">
        <f t="shared" si="9"/>
        <v>0</v>
      </c>
    </row>
    <row r="28" spans="1:33" ht="3.75" customHeight="1" x14ac:dyDescent="0.2">
      <c r="L28" s="158"/>
      <c r="M28" s="158"/>
      <c r="N28" s="158"/>
      <c r="O28" s="158"/>
      <c r="P28" s="158"/>
      <c r="Q28" s="158"/>
      <c r="R28" s="158"/>
    </row>
    <row r="29" spans="1:33" s="25" customFormat="1" x14ac:dyDescent="0.2">
      <c r="A29" s="394" t="s">
        <v>144</v>
      </c>
      <c r="B29" s="395"/>
      <c r="C29" s="159"/>
      <c r="D29" s="160" t="s">
        <v>0</v>
      </c>
      <c r="E29" s="397" t="s">
        <v>26</v>
      </c>
      <c r="F29" s="398"/>
      <c r="G29" s="398"/>
      <c r="H29" s="399"/>
      <c r="I29" s="397" t="s">
        <v>66</v>
      </c>
      <c r="J29" s="399"/>
      <c r="K29" s="5"/>
      <c r="L29" s="158"/>
      <c r="M29" s="158"/>
      <c r="N29" s="158"/>
      <c r="O29" s="158"/>
      <c r="P29" s="158"/>
      <c r="Q29" s="158"/>
      <c r="R29" s="15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x14ac:dyDescent="0.2">
      <c r="A30" s="31" t="s">
        <v>148</v>
      </c>
      <c r="B30" s="32"/>
      <c r="C30" s="161"/>
      <c r="D30" s="162">
        <f>E15-1</f>
        <v>2017</v>
      </c>
      <c r="E30" s="163">
        <f>SUM(Ausgangsdaten!C13)</f>
        <v>2018</v>
      </c>
      <c r="F30" s="164">
        <f>E30+1</f>
        <v>2019</v>
      </c>
      <c r="G30" s="164">
        <f>E30+2</f>
        <v>2020</v>
      </c>
      <c r="H30" s="165">
        <f>E30+3</f>
        <v>2021</v>
      </c>
      <c r="I30" s="164">
        <f>E30+4</f>
        <v>2022</v>
      </c>
      <c r="J30" s="165">
        <f>E30+5</f>
        <v>2023</v>
      </c>
      <c r="K30" s="5"/>
      <c r="L30" s="158"/>
      <c r="M30" s="158"/>
      <c r="N30" s="158"/>
      <c r="O30" s="158"/>
      <c r="P30" s="158"/>
      <c r="Q30" s="158"/>
      <c r="R30" s="158"/>
    </row>
    <row r="31" spans="1:33" x14ac:dyDescent="0.2">
      <c r="A31" s="215"/>
      <c r="B31" s="216"/>
      <c r="C31" s="166"/>
      <c r="D31" s="222"/>
      <c r="E31" s="215"/>
      <c r="F31" s="216"/>
      <c r="G31" s="216"/>
      <c r="H31" s="224"/>
      <c r="I31" s="216"/>
      <c r="J31" s="224"/>
      <c r="K31" s="5"/>
      <c r="L31" s="150">
        <f>D31*Ausgangsdaten!$D$26</f>
        <v>0</v>
      </c>
      <c r="M31" s="150">
        <f>E31*Ausgangsdaten!$E$26</f>
        <v>0</v>
      </c>
      <c r="N31" s="150">
        <f>F31*Ausgangsdaten!$F$26</f>
        <v>0</v>
      </c>
      <c r="O31" s="150">
        <f>G31*Ausgangsdaten!$G$26</f>
        <v>0</v>
      </c>
      <c r="P31" s="150">
        <f>H31*Ausgangsdaten!$H$26</f>
        <v>0</v>
      </c>
      <c r="Q31" s="150">
        <f>I31*Ausgangsdaten!$I$26</f>
        <v>0</v>
      </c>
      <c r="R31" s="151">
        <f>J31*Ausgangsdaten!$J$26</f>
        <v>0</v>
      </c>
    </row>
    <row r="32" spans="1:33" x14ac:dyDescent="0.2">
      <c r="A32" s="217" t="s">
        <v>154</v>
      </c>
      <c r="B32" s="218" t="s">
        <v>139</v>
      </c>
      <c r="C32" s="167"/>
      <c r="D32" s="221">
        <v>260</v>
      </c>
      <c r="E32" s="217"/>
      <c r="F32" s="218">
        <v>100</v>
      </c>
      <c r="G32" s="218"/>
      <c r="H32" s="221"/>
      <c r="I32" s="218"/>
      <c r="J32" s="221"/>
      <c r="K32" s="5"/>
      <c r="L32" s="150">
        <f>D32*Ausgangsdaten!$D$26</f>
        <v>2.6</v>
      </c>
      <c r="M32" s="150">
        <f>E32*Ausgangsdaten!$E$26</f>
        <v>0</v>
      </c>
      <c r="N32" s="150">
        <f>F32*Ausgangsdaten!$F$26</f>
        <v>1.6</v>
      </c>
      <c r="O32" s="150">
        <f>G32*Ausgangsdaten!$G$26</f>
        <v>0</v>
      </c>
      <c r="P32" s="150">
        <f>H32*Ausgangsdaten!$H$26</f>
        <v>0</v>
      </c>
      <c r="Q32" s="150">
        <f>I32*Ausgangsdaten!$I$26</f>
        <v>0</v>
      </c>
      <c r="R32" s="151">
        <f>J32*Ausgangsdaten!$J$26</f>
        <v>0</v>
      </c>
    </row>
    <row r="33" spans="1:33" x14ac:dyDescent="0.2">
      <c r="A33" s="217" t="s">
        <v>155</v>
      </c>
      <c r="B33" s="218"/>
      <c r="C33" s="167"/>
      <c r="D33" s="221"/>
      <c r="E33" s="217"/>
      <c r="F33" s="218"/>
      <c r="G33" s="218">
        <v>1000</v>
      </c>
      <c r="H33" s="221"/>
      <c r="I33" s="218"/>
      <c r="J33" s="221"/>
      <c r="K33" s="5"/>
      <c r="L33" s="150">
        <f>D33*Ausgangsdaten!$D$26</f>
        <v>0</v>
      </c>
      <c r="M33" s="150">
        <f>E33*Ausgangsdaten!$E$26</f>
        <v>0</v>
      </c>
      <c r="N33" s="150">
        <f>F33*Ausgangsdaten!$F$26</f>
        <v>0</v>
      </c>
      <c r="O33" s="150">
        <f>G33*Ausgangsdaten!$G$26</f>
        <v>18</v>
      </c>
      <c r="P33" s="150">
        <f>H33*Ausgangsdaten!$H$26</f>
        <v>0</v>
      </c>
      <c r="Q33" s="150">
        <f>I33*Ausgangsdaten!$I$26</f>
        <v>0</v>
      </c>
      <c r="R33" s="151">
        <f>J33*Ausgangsdaten!$J$26</f>
        <v>0</v>
      </c>
    </row>
    <row r="34" spans="1:33" x14ac:dyDescent="0.2">
      <c r="A34" s="217" t="s">
        <v>156</v>
      </c>
      <c r="B34" s="218"/>
      <c r="C34" s="167" t="s">
        <v>150</v>
      </c>
      <c r="D34" s="221"/>
      <c r="E34" s="217">
        <v>250</v>
      </c>
      <c r="F34" s="218">
        <v>1000</v>
      </c>
      <c r="G34" s="218"/>
      <c r="H34" s="221">
        <v>250</v>
      </c>
      <c r="I34" s="218"/>
      <c r="J34" s="221"/>
      <c r="K34" s="5"/>
      <c r="L34" s="150">
        <f>D34*Ausgangsdaten!$D$26</f>
        <v>0</v>
      </c>
      <c r="M34" s="150">
        <f>E34*Ausgangsdaten!$E$26</f>
        <v>3.75</v>
      </c>
      <c r="N34" s="150">
        <f>F34*Ausgangsdaten!$F$26</f>
        <v>16</v>
      </c>
      <c r="O34" s="150">
        <f>G34*Ausgangsdaten!$G$26</f>
        <v>0</v>
      </c>
      <c r="P34" s="150">
        <f>H34*Ausgangsdaten!$H$26</f>
        <v>5</v>
      </c>
      <c r="Q34" s="150">
        <f>I34*Ausgangsdaten!$I$26</f>
        <v>0</v>
      </c>
      <c r="R34" s="151">
        <f>J34*Ausgangsdaten!$J$26</f>
        <v>0</v>
      </c>
    </row>
    <row r="35" spans="1:33" x14ac:dyDescent="0.2">
      <c r="A35" s="217"/>
      <c r="B35" s="218"/>
      <c r="C35" s="167" t="s">
        <v>151</v>
      </c>
      <c r="D35" s="221"/>
      <c r="E35" s="217"/>
      <c r="F35" s="218"/>
      <c r="G35" s="218"/>
      <c r="H35" s="221"/>
      <c r="I35" s="218"/>
      <c r="J35" s="221">
        <v>2000</v>
      </c>
      <c r="K35" s="5"/>
      <c r="L35" s="150">
        <f>D35*Ausgangsdaten!$D$26</f>
        <v>0</v>
      </c>
      <c r="M35" s="150">
        <f>E35*Ausgangsdaten!$E$26</f>
        <v>0</v>
      </c>
      <c r="N35" s="150">
        <f>F35*Ausgangsdaten!$F$26</f>
        <v>0</v>
      </c>
      <c r="O35" s="150">
        <f>G35*Ausgangsdaten!$G$26</f>
        <v>0</v>
      </c>
      <c r="P35" s="150">
        <f>H35*Ausgangsdaten!$H$26</f>
        <v>0</v>
      </c>
      <c r="Q35" s="150">
        <f>I35*Ausgangsdaten!$I$26</f>
        <v>0</v>
      </c>
      <c r="R35" s="151">
        <f>J35*Ausgangsdaten!$J$26</f>
        <v>50</v>
      </c>
    </row>
    <row r="36" spans="1:33" x14ac:dyDescent="0.2">
      <c r="A36" s="217"/>
      <c r="B36" s="218"/>
      <c r="C36" s="167" t="s">
        <v>152</v>
      </c>
      <c r="D36" s="221"/>
      <c r="E36" s="217"/>
      <c r="F36" s="218"/>
      <c r="G36" s="218"/>
      <c r="H36" s="221"/>
      <c r="I36" s="218"/>
      <c r="J36" s="221"/>
      <c r="K36" s="5"/>
      <c r="L36" s="150">
        <f>D36*Ausgangsdaten!$D$26</f>
        <v>0</v>
      </c>
      <c r="M36" s="150">
        <f>E36*Ausgangsdaten!$E$26</f>
        <v>0</v>
      </c>
      <c r="N36" s="150">
        <f>F36*Ausgangsdaten!$F$26</f>
        <v>0</v>
      </c>
      <c r="O36" s="150">
        <f>G36*Ausgangsdaten!$G$26</f>
        <v>0</v>
      </c>
      <c r="P36" s="150">
        <f>H36*Ausgangsdaten!$H$26</f>
        <v>0</v>
      </c>
      <c r="Q36" s="150">
        <f>I36*Ausgangsdaten!$I$26</f>
        <v>0</v>
      </c>
      <c r="R36" s="151">
        <f>J36*Ausgangsdaten!$J$26</f>
        <v>0</v>
      </c>
    </row>
    <row r="37" spans="1:33" x14ac:dyDescent="0.2">
      <c r="A37" s="217"/>
      <c r="B37" s="218"/>
      <c r="C37" s="167" t="s">
        <v>153</v>
      </c>
      <c r="D37" s="221"/>
      <c r="E37" s="217"/>
      <c r="F37" s="218"/>
      <c r="G37" s="218"/>
      <c r="H37" s="221"/>
      <c r="I37" s="218"/>
      <c r="J37" s="221"/>
      <c r="K37" s="5"/>
      <c r="L37" s="150">
        <f>D37*Ausgangsdaten!$D$26</f>
        <v>0</v>
      </c>
      <c r="M37" s="150">
        <f>E37*Ausgangsdaten!$E$26</f>
        <v>0</v>
      </c>
      <c r="N37" s="150">
        <f>F37*Ausgangsdaten!$F$26</f>
        <v>0</v>
      </c>
      <c r="O37" s="150">
        <f>G37*Ausgangsdaten!$G$26</f>
        <v>0</v>
      </c>
      <c r="P37" s="150">
        <f>H37*Ausgangsdaten!$H$26</f>
        <v>0</v>
      </c>
      <c r="Q37" s="150">
        <f>I37*Ausgangsdaten!$I$26</f>
        <v>0</v>
      </c>
      <c r="R37" s="151">
        <f>J37*Ausgangsdaten!$J$26</f>
        <v>0</v>
      </c>
    </row>
    <row r="38" spans="1:33" x14ac:dyDescent="0.2">
      <c r="A38" s="217"/>
      <c r="B38" s="218"/>
      <c r="C38" s="168"/>
      <c r="D38" s="221"/>
      <c r="E38" s="217"/>
      <c r="F38" s="218"/>
      <c r="G38" s="218"/>
      <c r="H38" s="221"/>
      <c r="I38" s="218"/>
      <c r="J38" s="221"/>
      <c r="K38" s="5"/>
      <c r="L38" s="150">
        <f>D38*Ausgangsdaten!$D$26</f>
        <v>0</v>
      </c>
      <c r="M38" s="150">
        <f>E38*Ausgangsdaten!$E$26</f>
        <v>0</v>
      </c>
      <c r="N38" s="150">
        <f>F38*Ausgangsdaten!$F$26</f>
        <v>0</v>
      </c>
      <c r="O38" s="150">
        <f>G38*Ausgangsdaten!$G$26</f>
        <v>0</v>
      </c>
      <c r="P38" s="150">
        <f>H38*Ausgangsdaten!$H$26</f>
        <v>0</v>
      </c>
      <c r="Q38" s="150">
        <f>I38*Ausgangsdaten!$I$26</f>
        <v>0</v>
      </c>
      <c r="R38" s="151">
        <f>J38*Ausgangsdaten!$J$26</f>
        <v>0</v>
      </c>
    </row>
    <row r="39" spans="1:33" x14ac:dyDescent="0.2">
      <c r="A39" s="217"/>
      <c r="B39" s="218"/>
      <c r="C39" s="168"/>
      <c r="D39" s="221"/>
      <c r="E39" s="217"/>
      <c r="F39" s="218"/>
      <c r="G39" s="218"/>
      <c r="H39" s="221"/>
      <c r="I39" s="218"/>
      <c r="J39" s="221"/>
      <c r="K39" s="5"/>
      <c r="L39" s="150">
        <f>D39*Ausgangsdaten!$D$26</f>
        <v>0</v>
      </c>
      <c r="M39" s="150">
        <f>E39*Ausgangsdaten!$E$26</f>
        <v>0</v>
      </c>
      <c r="N39" s="150">
        <f>F39*Ausgangsdaten!$F$26</f>
        <v>0</v>
      </c>
      <c r="O39" s="150">
        <f>G39*Ausgangsdaten!$G$26</f>
        <v>0</v>
      </c>
      <c r="P39" s="150">
        <f>H39*Ausgangsdaten!$H$26</f>
        <v>0</v>
      </c>
      <c r="Q39" s="150">
        <f>I39*Ausgangsdaten!$I$26</f>
        <v>0</v>
      </c>
      <c r="R39" s="151">
        <f>J39*Ausgangsdaten!$J$26</f>
        <v>0</v>
      </c>
    </row>
    <row r="40" spans="1:33" x14ac:dyDescent="0.2">
      <c r="A40" s="217"/>
      <c r="B40" s="218"/>
      <c r="C40" s="168"/>
      <c r="D40" s="221"/>
      <c r="E40" s="217"/>
      <c r="F40" s="218"/>
      <c r="G40" s="218"/>
      <c r="H40" s="221"/>
      <c r="I40" s="218"/>
      <c r="J40" s="221"/>
      <c r="K40" s="5"/>
      <c r="L40" s="150">
        <f>D40*Ausgangsdaten!$D$26</f>
        <v>0</v>
      </c>
      <c r="M40" s="150">
        <f>E40*Ausgangsdaten!$E$26</f>
        <v>0</v>
      </c>
      <c r="N40" s="150">
        <f>F40*Ausgangsdaten!$F$26</f>
        <v>0</v>
      </c>
      <c r="O40" s="150">
        <f>G40*Ausgangsdaten!$G$26</f>
        <v>0</v>
      </c>
      <c r="P40" s="150">
        <f>H40*Ausgangsdaten!$H$26</f>
        <v>0</v>
      </c>
      <c r="Q40" s="150">
        <f>I40*Ausgangsdaten!$I$26</f>
        <v>0</v>
      </c>
      <c r="R40" s="151">
        <f>J40*Ausgangsdaten!$J$26</f>
        <v>0</v>
      </c>
    </row>
    <row r="41" spans="1:33" x14ac:dyDescent="0.2">
      <c r="A41" s="219"/>
      <c r="B41" s="220"/>
      <c r="C41" s="169"/>
      <c r="D41" s="223"/>
      <c r="E41" s="219"/>
      <c r="F41" s="220"/>
      <c r="G41" s="220"/>
      <c r="H41" s="223"/>
      <c r="I41" s="220"/>
      <c r="J41" s="223"/>
      <c r="K41" s="5"/>
      <c r="L41" s="150">
        <f>D41*Ausgangsdaten!$D$26</f>
        <v>0</v>
      </c>
      <c r="M41" s="150">
        <f>E41*Ausgangsdaten!$E$26</f>
        <v>0</v>
      </c>
      <c r="N41" s="150">
        <f>F41*Ausgangsdaten!$F$26</f>
        <v>0</v>
      </c>
      <c r="O41" s="150">
        <f>G41*Ausgangsdaten!$G$26</f>
        <v>0</v>
      </c>
      <c r="P41" s="150">
        <f>H41*Ausgangsdaten!$H$26</f>
        <v>0</v>
      </c>
      <c r="Q41" s="150">
        <f>I41*Ausgangsdaten!$I$26</f>
        <v>0</v>
      </c>
      <c r="R41" s="151">
        <f>J41*Ausgangsdaten!$J$26</f>
        <v>0</v>
      </c>
    </row>
    <row r="42" spans="1:33" x14ac:dyDescent="0.2">
      <c r="A42" s="389" t="s">
        <v>113</v>
      </c>
      <c r="B42" s="390"/>
      <c r="C42" s="152"/>
      <c r="D42" s="153">
        <f t="shared" ref="D42:J42" si="10">L42</f>
        <v>2.6</v>
      </c>
      <c r="E42" s="154">
        <f t="shared" si="10"/>
        <v>3.75</v>
      </c>
      <c r="F42" s="155">
        <f t="shared" si="10"/>
        <v>17.600000000000001</v>
      </c>
      <c r="G42" s="155">
        <f t="shared" si="10"/>
        <v>18</v>
      </c>
      <c r="H42" s="156">
        <f t="shared" si="10"/>
        <v>5</v>
      </c>
      <c r="I42" s="154">
        <f t="shared" si="10"/>
        <v>0</v>
      </c>
      <c r="J42" s="156">
        <f t="shared" si="10"/>
        <v>50</v>
      </c>
      <c r="K42" s="5"/>
      <c r="L42" s="157">
        <f>SUM(L31:L41)</f>
        <v>2.6</v>
      </c>
      <c r="M42" s="157">
        <f>SUM(M31:M41)</f>
        <v>3.75</v>
      </c>
      <c r="N42" s="157">
        <f t="shared" ref="N42:R42" si="11">SUM(N31:N41)</f>
        <v>17.600000000000001</v>
      </c>
      <c r="O42" s="157">
        <f t="shared" si="11"/>
        <v>18</v>
      </c>
      <c r="P42" s="157">
        <f t="shared" si="11"/>
        <v>5</v>
      </c>
      <c r="Q42" s="157">
        <f t="shared" si="11"/>
        <v>0</v>
      </c>
      <c r="R42" s="157">
        <f t="shared" si="11"/>
        <v>50</v>
      </c>
    </row>
    <row r="43" spans="1:33" x14ac:dyDescent="0.2">
      <c r="A43" s="170"/>
      <c r="B43" s="171"/>
      <c r="C43" s="20"/>
      <c r="D43" s="172"/>
      <c r="E43" s="173"/>
      <c r="F43" s="174"/>
      <c r="G43" s="174"/>
      <c r="H43" s="175"/>
      <c r="I43" s="173"/>
      <c r="J43" s="175"/>
      <c r="K43" s="5"/>
    </row>
    <row r="44" spans="1:33" x14ac:dyDescent="0.2">
      <c r="A44" s="400" t="s">
        <v>157</v>
      </c>
      <c r="B44" s="401"/>
      <c r="C44" s="27"/>
      <c r="D44" s="176">
        <f t="shared" ref="D44:J44" si="12">D27+D42</f>
        <v>1.1000000000000001</v>
      </c>
      <c r="E44" s="177">
        <f t="shared" si="12"/>
        <v>2.5</v>
      </c>
      <c r="F44" s="178">
        <f t="shared" si="12"/>
        <v>16.600000000000001</v>
      </c>
      <c r="G44" s="178">
        <f t="shared" si="12"/>
        <v>-20</v>
      </c>
      <c r="H44" s="179">
        <f t="shared" si="12"/>
        <v>3.75</v>
      </c>
      <c r="I44" s="177">
        <f t="shared" si="12"/>
        <v>0</v>
      </c>
      <c r="J44" s="179">
        <f t="shared" si="12"/>
        <v>50</v>
      </c>
      <c r="K44" s="5"/>
    </row>
    <row r="45" spans="1:33" x14ac:dyDescent="0.2">
      <c r="A45" s="180"/>
      <c r="B45" s="181"/>
      <c r="C45" s="32"/>
      <c r="D45" s="182"/>
      <c r="E45" s="183"/>
      <c r="F45" s="184"/>
      <c r="G45" s="184"/>
      <c r="H45" s="185"/>
      <c r="I45" s="183"/>
      <c r="J45" s="185"/>
      <c r="K45" s="5"/>
    </row>
    <row r="47" spans="1:33" s="94" customFormat="1" ht="23.25" customHeight="1" x14ac:dyDescent="0.2">
      <c r="A47" s="389" t="s">
        <v>114</v>
      </c>
      <c r="B47" s="391"/>
      <c r="C47" s="186" t="s">
        <v>102</v>
      </c>
      <c r="D47" s="187"/>
      <c r="E47" s="187"/>
      <c r="F47" s="187"/>
      <c r="G47" s="187"/>
      <c r="H47" s="187"/>
      <c r="I47" s="187"/>
      <c r="J47" s="188"/>
      <c r="L47" s="189"/>
      <c r="M47" s="189"/>
      <c r="N47" s="189"/>
      <c r="O47" s="189"/>
      <c r="P47" s="189"/>
      <c r="Q47" s="189"/>
      <c r="R47" s="189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215"/>
      <c r="B48" s="216"/>
      <c r="C48" s="225"/>
      <c r="D48" s="222"/>
      <c r="E48" s="226"/>
      <c r="F48" s="227"/>
      <c r="G48" s="227"/>
      <c r="H48" s="222"/>
      <c r="I48" s="227"/>
      <c r="J48" s="222"/>
      <c r="K48" s="5"/>
      <c r="L48" s="150">
        <f t="shared" ref="L48:L58" si="13">$C48*D48</f>
        <v>0</v>
      </c>
      <c r="M48" s="150">
        <f t="shared" ref="M48:M58" si="14">$C48*E48</f>
        <v>0</v>
      </c>
      <c r="N48" s="150">
        <f t="shared" ref="N48:N58" si="15">$C48*F48</f>
        <v>0</v>
      </c>
      <c r="O48" s="150">
        <f t="shared" ref="O48:O58" si="16">$C48*G48</f>
        <v>0</v>
      </c>
      <c r="P48" s="150">
        <f t="shared" ref="P48:P58" si="17">$C48*H48</f>
        <v>0</v>
      </c>
      <c r="Q48" s="150">
        <f t="shared" ref="Q48:Q58" si="18">$C48*I48</f>
        <v>0</v>
      </c>
      <c r="R48" s="151">
        <f t="shared" ref="R48:R58" si="19">$C48*J48</f>
        <v>0</v>
      </c>
    </row>
    <row r="49" spans="1:33" x14ac:dyDescent="0.2">
      <c r="A49" s="217" t="s">
        <v>130</v>
      </c>
      <c r="B49" s="218"/>
      <c r="C49" s="228">
        <v>0</v>
      </c>
      <c r="D49" s="229"/>
      <c r="E49" s="230"/>
      <c r="F49" s="231"/>
      <c r="G49" s="231"/>
      <c r="H49" s="229">
        <v>6800</v>
      </c>
      <c r="I49" s="231"/>
      <c r="J49" s="229"/>
      <c r="K49" s="5"/>
      <c r="L49" s="150">
        <f t="shared" si="13"/>
        <v>0</v>
      </c>
      <c r="M49" s="150">
        <f t="shared" si="14"/>
        <v>0</v>
      </c>
      <c r="N49" s="150">
        <f t="shared" si="15"/>
        <v>0</v>
      </c>
      <c r="O49" s="150">
        <f t="shared" si="16"/>
        <v>0</v>
      </c>
      <c r="P49" s="150">
        <f t="shared" si="17"/>
        <v>0</v>
      </c>
      <c r="Q49" s="150">
        <f t="shared" si="18"/>
        <v>0</v>
      </c>
      <c r="R49" s="151">
        <f t="shared" si="19"/>
        <v>0</v>
      </c>
    </row>
    <row r="50" spans="1:33" x14ac:dyDescent="0.2">
      <c r="A50" s="217" t="s">
        <v>131</v>
      </c>
      <c r="B50" s="218"/>
      <c r="C50" s="228">
        <v>0.05</v>
      </c>
      <c r="D50" s="229">
        <v>1000</v>
      </c>
      <c r="E50" s="230"/>
      <c r="F50" s="231"/>
      <c r="G50" s="231"/>
      <c r="H50" s="229"/>
      <c r="I50" s="231"/>
      <c r="J50" s="229"/>
      <c r="K50" s="5"/>
      <c r="L50" s="150">
        <f t="shared" si="13"/>
        <v>50</v>
      </c>
      <c r="M50" s="150">
        <f t="shared" si="14"/>
        <v>0</v>
      </c>
      <c r="N50" s="150">
        <f t="shared" si="15"/>
        <v>0</v>
      </c>
      <c r="O50" s="150">
        <f t="shared" si="16"/>
        <v>0</v>
      </c>
      <c r="P50" s="150">
        <f t="shared" si="17"/>
        <v>0</v>
      </c>
      <c r="Q50" s="150">
        <f t="shared" si="18"/>
        <v>0</v>
      </c>
      <c r="R50" s="151">
        <f t="shared" si="19"/>
        <v>0</v>
      </c>
    </row>
    <row r="51" spans="1:33" x14ac:dyDescent="0.2">
      <c r="A51" s="217" t="s">
        <v>131</v>
      </c>
      <c r="B51" s="218"/>
      <c r="C51" s="228">
        <v>0.04</v>
      </c>
      <c r="D51" s="229"/>
      <c r="E51" s="230">
        <v>2000</v>
      </c>
      <c r="F51" s="231"/>
      <c r="G51" s="231"/>
      <c r="H51" s="229"/>
      <c r="I51" s="231"/>
      <c r="J51" s="229"/>
      <c r="K51" s="5"/>
      <c r="L51" s="150">
        <f t="shared" si="13"/>
        <v>0</v>
      </c>
      <c r="M51" s="150">
        <f t="shared" si="14"/>
        <v>80</v>
      </c>
      <c r="N51" s="150">
        <f t="shared" si="15"/>
        <v>0</v>
      </c>
      <c r="O51" s="150">
        <f t="shared" si="16"/>
        <v>0</v>
      </c>
      <c r="P51" s="150">
        <f t="shared" si="17"/>
        <v>0</v>
      </c>
      <c r="Q51" s="150">
        <f t="shared" si="18"/>
        <v>0</v>
      </c>
      <c r="R51" s="151">
        <f t="shared" si="19"/>
        <v>0</v>
      </c>
    </row>
    <row r="52" spans="1:33" x14ac:dyDescent="0.2">
      <c r="A52" s="217" t="s">
        <v>131</v>
      </c>
      <c r="B52" s="218"/>
      <c r="C52" s="228">
        <v>0.03</v>
      </c>
      <c r="D52" s="229"/>
      <c r="E52" s="230"/>
      <c r="F52" s="231">
        <v>3000</v>
      </c>
      <c r="G52" s="231"/>
      <c r="H52" s="229"/>
      <c r="I52" s="231"/>
      <c r="J52" s="229"/>
      <c r="K52" s="5"/>
      <c r="L52" s="150">
        <f t="shared" si="13"/>
        <v>0</v>
      </c>
      <c r="M52" s="150">
        <f t="shared" si="14"/>
        <v>0</v>
      </c>
      <c r="N52" s="150">
        <f t="shared" si="15"/>
        <v>90</v>
      </c>
      <c r="O52" s="150">
        <f t="shared" si="16"/>
        <v>0</v>
      </c>
      <c r="P52" s="150">
        <f t="shared" si="17"/>
        <v>0</v>
      </c>
      <c r="Q52" s="150">
        <f t="shared" si="18"/>
        <v>0</v>
      </c>
      <c r="R52" s="151">
        <f t="shared" si="19"/>
        <v>0</v>
      </c>
    </row>
    <row r="53" spans="1:33" x14ac:dyDescent="0.2">
      <c r="A53" s="217"/>
      <c r="B53" s="218"/>
      <c r="C53" s="228"/>
      <c r="D53" s="229"/>
      <c r="E53" s="230"/>
      <c r="F53" s="231"/>
      <c r="G53" s="231"/>
      <c r="H53" s="229"/>
      <c r="I53" s="231"/>
      <c r="J53" s="229"/>
      <c r="K53" s="5"/>
      <c r="L53" s="150">
        <f t="shared" si="13"/>
        <v>0</v>
      </c>
      <c r="M53" s="150">
        <f t="shared" si="14"/>
        <v>0</v>
      </c>
      <c r="N53" s="150">
        <f t="shared" si="15"/>
        <v>0</v>
      </c>
      <c r="O53" s="150">
        <f t="shared" si="16"/>
        <v>0</v>
      </c>
      <c r="P53" s="150">
        <f t="shared" si="17"/>
        <v>0</v>
      </c>
      <c r="Q53" s="150">
        <f t="shared" si="18"/>
        <v>0</v>
      </c>
      <c r="R53" s="151">
        <f t="shared" si="19"/>
        <v>0</v>
      </c>
    </row>
    <row r="54" spans="1:33" x14ac:dyDescent="0.2">
      <c r="A54" s="217"/>
      <c r="B54" s="218"/>
      <c r="C54" s="228"/>
      <c r="D54" s="229"/>
      <c r="E54" s="230"/>
      <c r="F54" s="231"/>
      <c r="G54" s="231"/>
      <c r="H54" s="229"/>
      <c r="I54" s="231"/>
      <c r="J54" s="229"/>
      <c r="K54" s="5"/>
      <c r="L54" s="150">
        <f t="shared" si="13"/>
        <v>0</v>
      </c>
      <c r="M54" s="150">
        <f t="shared" si="14"/>
        <v>0</v>
      </c>
      <c r="N54" s="150">
        <f t="shared" si="15"/>
        <v>0</v>
      </c>
      <c r="O54" s="150">
        <f t="shared" si="16"/>
        <v>0</v>
      </c>
      <c r="P54" s="150">
        <f t="shared" si="17"/>
        <v>0</v>
      </c>
      <c r="Q54" s="150">
        <f t="shared" si="18"/>
        <v>0</v>
      </c>
      <c r="R54" s="151">
        <f t="shared" si="19"/>
        <v>0</v>
      </c>
    </row>
    <row r="55" spans="1:33" x14ac:dyDescent="0.2">
      <c r="A55" s="217"/>
      <c r="B55" s="218"/>
      <c r="C55" s="228"/>
      <c r="D55" s="229"/>
      <c r="E55" s="230"/>
      <c r="F55" s="231"/>
      <c r="G55" s="231"/>
      <c r="H55" s="229"/>
      <c r="I55" s="231"/>
      <c r="J55" s="229"/>
      <c r="K55" s="5"/>
      <c r="L55" s="150">
        <f t="shared" si="13"/>
        <v>0</v>
      </c>
      <c r="M55" s="150">
        <f t="shared" si="14"/>
        <v>0</v>
      </c>
      <c r="N55" s="150">
        <f t="shared" si="15"/>
        <v>0</v>
      </c>
      <c r="O55" s="150">
        <f t="shared" si="16"/>
        <v>0</v>
      </c>
      <c r="P55" s="150">
        <f t="shared" si="17"/>
        <v>0</v>
      </c>
      <c r="Q55" s="150">
        <f t="shared" si="18"/>
        <v>0</v>
      </c>
      <c r="R55" s="151">
        <f t="shared" si="19"/>
        <v>0</v>
      </c>
    </row>
    <row r="56" spans="1:33" x14ac:dyDescent="0.2">
      <c r="A56" s="217"/>
      <c r="B56" s="218"/>
      <c r="C56" s="228"/>
      <c r="D56" s="229"/>
      <c r="E56" s="230"/>
      <c r="F56" s="231"/>
      <c r="G56" s="231"/>
      <c r="H56" s="229"/>
      <c r="I56" s="231"/>
      <c r="J56" s="229"/>
      <c r="K56" s="5"/>
      <c r="L56" s="150">
        <f t="shared" si="13"/>
        <v>0</v>
      </c>
      <c r="M56" s="150">
        <f t="shared" si="14"/>
        <v>0</v>
      </c>
      <c r="N56" s="150">
        <f t="shared" si="15"/>
        <v>0</v>
      </c>
      <c r="O56" s="150">
        <f t="shared" si="16"/>
        <v>0</v>
      </c>
      <c r="P56" s="150">
        <f t="shared" si="17"/>
        <v>0</v>
      </c>
      <c r="Q56" s="150">
        <f t="shared" si="18"/>
        <v>0</v>
      </c>
      <c r="R56" s="151">
        <f t="shared" si="19"/>
        <v>0</v>
      </c>
    </row>
    <row r="57" spans="1:33" x14ac:dyDescent="0.2">
      <c r="A57" s="217"/>
      <c r="B57" s="218"/>
      <c r="C57" s="228"/>
      <c r="D57" s="229"/>
      <c r="E57" s="230"/>
      <c r="F57" s="231"/>
      <c r="G57" s="231"/>
      <c r="H57" s="229"/>
      <c r="I57" s="231"/>
      <c r="J57" s="229"/>
      <c r="K57" s="5"/>
      <c r="L57" s="150">
        <f t="shared" si="13"/>
        <v>0</v>
      </c>
      <c r="M57" s="150">
        <f t="shared" si="14"/>
        <v>0</v>
      </c>
      <c r="N57" s="150">
        <f t="shared" si="15"/>
        <v>0</v>
      </c>
      <c r="O57" s="150">
        <f t="shared" si="16"/>
        <v>0</v>
      </c>
      <c r="P57" s="150">
        <f t="shared" si="17"/>
        <v>0</v>
      </c>
      <c r="Q57" s="150">
        <f t="shared" si="18"/>
        <v>0</v>
      </c>
      <c r="R57" s="151">
        <f t="shared" si="19"/>
        <v>0</v>
      </c>
    </row>
    <row r="58" spans="1:33" x14ac:dyDescent="0.2">
      <c r="A58" s="217"/>
      <c r="B58" s="218"/>
      <c r="C58" s="228"/>
      <c r="D58" s="229"/>
      <c r="E58" s="230"/>
      <c r="F58" s="231"/>
      <c r="G58" s="231"/>
      <c r="H58" s="229"/>
      <c r="I58" s="231"/>
      <c r="J58" s="229"/>
      <c r="K58" s="5"/>
      <c r="L58" s="150">
        <f t="shared" si="13"/>
        <v>0</v>
      </c>
      <c r="M58" s="150">
        <f t="shared" si="14"/>
        <v>0</v>
      </c>
      <c r="N58" s="150">
        <f t="shared" si="15"/>
        <v>0</v>
      </c>
      <c r="O58" s="150">
        <f t="shared" si="16"/>
        <v>0</v>
      </c>
      <c r="P58" s="150">
        <f t="shared" si="17"/>
        <v>0</v>
      </c>
      <c r="Q58" s="150">
        <f t="shared" si="18"/>
        <v>0</v>
      </c>
      <c r="R58" s="151">
        <f t="shared" si="19"/>
        <v>0</v>
      </c>
    </row>
    <row r="59" spans="1:33" x14ac:dyDescent="0.2">
      <c r="A59" s="389" t="s">
        <v>116</v>
      </c>
      <c r="B59" s="390"/>
      <c r="C59" s="152"/>
      <c r="D59" s="153">
        <f t="shared" ref="D59:J59" si="20">L59</f>
        <v>50</v>
      </c>
      <c r="E59" s="154">
        <f t="shared" si="20"/>
        <v>80</v>
      </c>
      <c r="F59" s="155">
        <f t="shared" si="20"/>
        <v>90</v>
      </c>
      <c r="G59" s="155">
        <f t="shared" si="20"/>
        <v>0</v>
      </c>
      <c r="H59" s="156">
        <f t="shared" si="20"/>
        <v>0</v>
      </c>
      <c r="I59" s="154">
        <f t="shared" si="20"/>
        <v>0</v>
      </c>
      <c r="J59" s="156">
        <f t="shared" si="20"/>
        <v>0</v>
      </c>
      <c r="K59" s="5"/>
      <c r="L59" s="157">
        <f t="shared" ref="L59:R59" si="21">SUM(L48:L58)</f>
        <v>50</v>
      </c>
      <c r="M59" s="157">
        <f t="shared" si="21"/>
        <v>80</v>
      </c>
      <c r="N59" s="157">
        <f t="shared" si="21"/>
        <v>90</v>
      </c>
      <c r="O59" s="157">
        <f t="shared" si="21"/>
        <v>0</v>
      </c>
      <c r="P59" s="157">
        <f t="shared" si="21"/>
        <v>0</v>
      </c>
      <c r="Q59" s="157">
        <f t="shared" si="21"/>
        <v>0</v>
      </c>
      <c r="R59" s="157">
        <f t="shared" si="21"/>
        <v>0</v>
      </c>
    </row>
    <row r="60" spans="1:33" ht="3.75" customHeight="1" x14ac:dyDescent="0.2">
      <c r="L60" s="158"/>
      <c r="M60" s="158"/>
      <c r="N60" s="158"/>
      <c r="O60" s="158"/>
      <c r="P60" s="158"/>
      <c r="Q60" s="158"/>
      <c r="R60" s="158"/>
    </row>
    <row r="61" spans="1:33" s="94" customFormat="1" ht="23.25" customHeight="1" x14ac:dyDescent="0.2">
      <c r="A61" s="389" t="s">
        <v>115</v>
      </c>
      <c r="B61" s="391"/>
      <c r="C61" s="186" t="s">
        <v>102</v>
      </c>
      <c r="D61" s="187"/>
      <c r="E61" s="187"/>
      <c r="F61" s="187"/>
      <c r="G61" s="187"/>
      <c r="H61" s="187"/>
      <c r="I61" s="187"/>
      <c r="J61" s="188"/>
      <c r="L61" s="189"/>
      <c r="M61" s="189"/>
      <c r="N61" s="189"/>
      <c r="O61" s="189"/>
      <c r="P61" s="189"/>
      <c r="Q61" s="189"/>
      <c r="R61" s="189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4.5" customHeight="1" x14ac:dyDescent="0.2">
      <c r="A62" s="190"/>
      <c r="B62" s="191"/>
      <c r="C62" s="192"/>
      <c r="D62" s="193"/>
      <c r="E62" s="194"/>
      <c r="F62" s="195"/>
      <c r="G62" s="195"/>
      <c r="H62" s="196"/>
      <c r="I62" s="195"/>
      <c r="J62" s="196"/>
      <c r="K62" s="5"/>
      <c r="L62" s="158"/>
      <c r="M62" s="158"/>
      <c r="N62" s="158"/>
      <c r="O62" s="158"/>
      <c r="P62" s="158"/>
      <c r="Q62" s="158"/>
      <c r="R62" s="158"/>
    </row>
    <row r="63" spans="1:33" x14ac:dyDescent="0.2">
      <c r="A63" s="215"/>
      <c r="B63" s="216"/>
      <c r="C63" s="225"/>
      <c r="D63" s="222"/>
      <c r="E63" s="226"/>
      <c r="F63" s="227"/>
      <c r="G63" s="227"/>
      <c r="H63" s="222"/>
      <c r="I63" s="227"/>
      <c r="J63" s="222"/>
      <c r="K63" s="5"/>
      <c r="L63" s="150">
        <f t="shared" ref="L63:L73" si="22">$C63*D63</f>
        <v>0</v>
      </c>
      <c r="M63" s="150">
        <f t="shared" ref="M63:M73" si="23">$C63*E63</f>
        <v>0</v>
      </c>
      <c r="N63" s="150">
        <f t="shared" ref="N63:N73" si="24">$C63*F63</f>
        <v>0</v>
      </c>
      <c r="O63" s="150">
        <f t="shared" ref="O63:O73" si="25">$C63*G63</f>
        <v>0</v>
      </c>
      <c r="P63" s="150">
        <f t="shared" ref="P63:P73" si="26">$C63*H63</f>
        <v>0</v>
      </c>
      <c r="Q63" s="150">
        <f t="shared" ref="Q63:Q73" si="27">$C63*I63</f>
        <v>0</v>
      </c>
      <c r="R63" s="150">
        <f t="shared" ref="R63:R73" si="28">$C63*J63</f>
        <v>0</v>
      </c>
    </row>
    <row r="64" spans="1:33" x14ac:dyDescent="0.2">
      <c r="A64" s="217" t="s">
        <v>132</v>
      </c>
      <c r="B64" s="218"/>
      <c r="C64" s="228">
        <v>7.4999999999999997E-3</v>
      </c>
      <c r="D64" s="229">
        <v>1000</v>
      </c>
      <c r="E64" s="230">
        <v>2000</v>
      </c>
      <c r="F64" s="231">
        <v>3000</v>
      </c>
      <c r="G64" s="231"/>
      <c r="H64" s="229"/>
      <c r="I64" s="231"/>
      <c r="J64" s="229"/>
      <c r="K64" s="5"/>
      <c r="L64" s="150">
        <f t="shared" si="22"/>
        <v>7.5</v>
      </c>
      <c r="M64" s="150">
        <f t="shared" si="23"/>
        <v>15</v>
      </c>
      <c r="N64" s="150">
        <f t="shared" si="24"/>
        <v>22.5</v>
      </c>
      <c r="O64" s="150">
        <f t="shared" si="25"/>
        <v>0</v>
      </c>
      <c r="P64" s="150">
        <f t="shared" si="26"/>
        <v>0</v>
      </c>
      <c r="Q64" s="150">
        <f t="shared" si="27"/>
        <v>0</v>
      </c>
      <c r="R64" s="150">
        <f t="shared" si="28"/>
        <v>0</v>
      </c>
    </row>
    <row r="65" spans="1:18" x14ac:dyDescent="0.2">
      <c r="A65" s="217" t="s">
        <v>133</v>
      </c>
      <c r="B65" s="218"/>
      <c r="C65" s="228">
        <v>1.4999999999999999E-2</v>
      </c>
      <c r="D65" s="229"/>
      <c r="E65" s="230"/>
      <c r="F65" s="231"/>
      <c r="G65" s="231"/>
      <c r="H65" s="229">
        <v>7500</v>
      </c>
      <c r="I65" s="231"/>
      <c r="J65" s="229"/>
      <c r="K65" s="5"/>
      <c r="L65" s="150">
        <f t="shared" si="22"/>
        <v>0</v>
      </c>
      <c r="M65" s="150">
        <f t="shared" si="23"/>
        <v>0</v>
      </c>
      <c r="N65" s="150">
        <f t="shared" si="24"/>
        <v>0</v>
      </c>
      <c r="O65" s="150">
        <f t="shared" si="25"/>
        <v>0</v>
      </c>
      <c r="P65" s="150">
        <f t="shared" si="26"/>
        <v>112.5</v>
      </c>
      <c r="Q65" s="150">
        <f t="shared" si="27"/>
        <v>0</v>
      </c>
      <c r="R65" s="150">
        <f t="shared" si="28"/>
        <v>0</v>
      </c>
    </row>
    <row r="66" spans="1:18" x14ac:dyDescent="0.2">
      <c r="A66" s="217" t="s">
        <v>134</v>
      </c>
      <c r="B66" s="218"/>
      <c r="C66" s="228">
        <v>3.5000000000000003E-2</v>
      </c>
      <c r="D66" s="229"/>
      <c r="E66" s="230"/>
      <c r="F66" s="231"/>
      <c r="G66" s="231">
        <v>4500</v>
      </c>
      <c r="H66" s="229"/>
      <c r="I66" s="231"/>
      <c r="J66" s="229"/>
      <c r="K66" s="5"/>
      <c r="L66" s="150">
        <f t="shared" si="22"/>
        <v>0</v>
      </c>
      <c r="M66" s="150">
        <f t="shared" si="23"/>
        <v>0</v>
      </c>
      <c r="N66" s="150">
        <f t="shared" si="24"/>
        <v>0</v>
      </c>
      <c r="O66" s="150">
        <f t="shared" si="25"/>
        <v>157.50000000000003</v>
      </c>
      <c r="P66" s="150">
        <f t="shared" si="26"/>
        <v>0</v>
      </c>
      <c r="Q66" s="150">
        <f t="shared" si="27"/>
        <v>0</v>
      </c>
      <c r="R66" s="150">
        <f t="shared" si="28"/>
        <v>0</v>
      </c>
    </row>
    <row r="67" spans="1:18" x14ac:dyDescent="0.2">
      <c r="A67" s="217"/>
      <c r="B67" s="218"/>
      <c r="C67" s="228"/>
      <c r="D67" s="229"/>
      <c r="E67" s="230"/>
      <c r="F67" s="231"/>
      <c r="G67" s="231"/>
      <c r="H67" s="229"/>
      <c r="I67" s="231"/>
      <c r="J67" s="229"/>
      <c r="K67" s="5"/>
      <c r="L67" s="150">
        <f t="shared" si="22"/>
        <v>0</v>
      </c>
      <c r="M67" s="150">
        <f t="shared" si="23"/>
        <v>0</v>
      </c>
      <c r="N67" s="150">
        <f t="shared" si="24"/>
        <v>0</v>
      </c>
      <c r="O67" s="150">
        <f t="shared" si="25"/>
        <v>0</v>
      </c>
      <c r="P67" s="150">
        <f t="shared" si="26"/>
        <v>0</v>
      </c>
      <c r="Q67" s="150">
        <f t="shared" si="27"/>
        <v>0</v>
      </c>
      <c r="R67" s="150">
        <f t="shared" si="28"/>
        <v>0</v>
      </c>
    </row>
    <row r="68" spans="1:18" x14ac:dyDescent="0.2">
      <c r="A68" s="217"/>
      <c r="B68" s="221"/>
      <c r="C68" s="228"/>
      <c r="D68" s="229"/>
      <c r="E68" s="230"/>
      <c r="F68" s="231"/>
      <c r="G68" s="231"/>
      <c r="H68" s="229"/>
      <c r="I68" s="231"/>
      <c r="J68" s="229"/>
      <c r="K68" s="5"/>
      <c r="L68" s="150">
        <f t="shared" si="22"/>
        <v>0</v>
      </c>
      <c r="M68" s="150">
        <f t="shared" si="23"/>
        <v>0</v>
      </c>
      <c r="N68" s="150">
        <f t="shared" si="24"/>
        <v>0</v>
      </c>
      <c r="O68" s="150">
        <f t="shared" si="25"/>
        <v>0</v>
      </c>
      <c r="P68" s="150">
        <f t="shared" si="26"/>
        <v>0</v>
      </c>
      <c r="Q68" s="150">
        <f t="shared" si="27"/>
        <v>0</v>
      </c>
      <c r="R68" s="150">
        <f t="shared" si="28"/>
        <v>0</v>
      </c>
    </row>
    <row r="69" spans="1:18" x14ac:dyDescent="0.2">
      <c r="A69" s="217"/>
      <c r="B69" s="218"/>
      <c r="C69" s="228"/>
      <c r="D69" s="229"/>
      <c r="E69" s="230"/>
      <c r="F69" s="231"/>
      <c r="G69" s="231"/>
      <c r="H69" s="229"/>
      <c r="I69" s="231"/>
      <c r="J69" s="229"/>
      <c r="K69" s="5"/>
      <c r="L69" s="150">
        <f t="shared" si="22"/>
        <v>0</v>
      </c>
      <c r="M69" s="150">
        <f t="shared" si="23"/>
        <v>0</v>
      </c>
      <c r="N69" s="150">
        <f t="shared" si="24"/>
        <v>0</v>
      </c>
      <c r="O69" s="150">
        <f t="shared" si="25"/>
        <v>0</v>
      </c>
      <c r="P69" s="150">
        <f t="shared" si="26"/>
        <v>0</v>
      </c>
      <c r="Q69" s="150">
        <f t="shared" si="27"/>
        <v>0</v>
      </c>
      <c r="R69" s="150">
        <f t="shared" si="28"/>
        <v>0</v>
      </c>
    </row>
    <row r="70" spans="1:18" x14ac:dyDescent="0.2">
      <c r="A70" s="217"/>
      <c r="B70" s="218"/>
      <c r="C70" s="228"/>
      <c r="D70" s="229"/>
      <c r="E70" s="230"/>
      <c r="F70" s="231"/>
      <c r="G70" s="231"/>
      <c r="H70" s="229"/>
      <c r="I70" s="230"/>
      <c r="J70" s="229"/>
      <c r="K70" s="5"/>
      <c r="L70" s="150">
        <f t="shared" si="22"/>
        <v>0</v>
      </c>
      <c r="M70" s="150">
        <f t="shared" si="23"/>
        <v>0</v>
      </c>
      <c r="N70" s="150">
        <f t="shared" si="24"/>
        <v>0</v>
      </c>
      <c r="O70" s="150">
        <f t="shared" si="25"/>
        <v>0</v>
      </c>
      <c r="P70" s="150">
        <f t="shared" si="26"/>
        <v>0</v>
      </c>
      <c r="Q70" s="150">
        <f t="shared" si="27"/>
        <v>0</v>
      </c>
      <c r="R70" s="150">
        <f t="shared" si="28"/>
        <v>0</v>
      </c>
    </row>
    <row r="71" spans="1:18" x14ac:dyDescent="0.2">
      <c r="A71" s="217"/>
      <c r="B71" s="218"/>
      <c r="C71" s="228"/>
      <c r="D71" s="229"/>
      <c r="E71" s="230"/>
      <c r="F71" s="231"/>
      <c r="G71" s="231"/>
      <c r="H71" s="229"/>
      <c r="I71" s="231"/>
      <c r="J71" s="229"/>
      <c r="K71" s="5"/>
      <c r="L71" s="150">
        <f t="shared" si="22"/>
        <v>0</v>
      </c>
      <c r="M71" s="150">
        <f t="shared" si="23"/>
        <v>0</v>
      </c>
      <c r="N71" s="150">
        <f t="shared" si="24"/>
        <v>0</v>
      </c>
      <c r="O71" s="150">
        <f t="shared" si="25"/>
        <v>0</v>
      </c>
      <c r="P71" s="150">
        <f t="shared" si="26"/>
        <v>0</v>
      </c>
      <c r="Q71" s="150">
        <f t="shared" si="27"/>
        <v>0</v>
      </c>
      <c r="R71" s="150">
        <f t="shared" si="28"/>
        <v>0</v>
      </c>
    </row>
    <row r="72" spans="1:18" x14ac:dyDescent="0.2">
      <c r="A72" s="217"/>
      <c r="B72" s="218"/>
      <c r="C72" s="228"/>
      <c r="D72" s="229"/>
      <c r="E72" s="230"/>
      <c r="F72" s="231"/>
      <c r="G72" s="231"/>
      <c r="H72" s="229"/>
      <c r="I72" s="231"/>
      <c r="J72" s="229"/>
      <c r="K72" s="5"/>
      <c r="L72" s="150">
        <f t="shared" si="22"/>
        <v>0</v>
      </c>
      <c r="M72" s="150">
        <f t="shared" si="23"/>
        <v>0</v>
      </c>
      <c r="N72" s="150">
        <f t="shared" si="24"/>
        <v>0</v>
      </c>
      <c r="O72" s="150">
        <f t="shared" si="25"/>
        <v>0</v>
      </c>
      <c r="P72" s="150">
        <f t="shared" si="26"/>
        <v>0</v>
      </c>
      <c r="Q72" s="150">
        <f t="shared" si="27"/>
        <v>0</v>
      </c>
      <c r="R72" s="150">
        <f t="shared" si="28"/>
        <v>0</v>
      </c>
    </row>
    <row r="73" spans="1:18" x14ac:dyDescent="0.2">
      <c r="A73" s="217"/>
      <c r="B73" s="218"/>
      <c r="C73" s="228"/>
      <c r="D73" s="229"/>
      <c r="E73" s="230"/>
      <c r="F73" s="231"/>
      <c r="G73" s="231"/>
      <c r="H73" s="229"/>
      <c r="I73" s="231"/>
      <c r="J73" s="229"/>
      <c r="K73" s="5"/>
      <c r="L73" s="150">
        <f t="shared" si="22"/>
        <v>0</v>
      </c>
      <c r="M73" s="150">
        <f t="shared" si="23"/>
        <v>0</v>
      </c>
      <c r="N73" s="150">
        <f t="shared" si="24"/>
        <v>0</v>
      </c>
      <c r="O73" s="150">
        <f t="shared" si="25"/>
        <v>0</v>
      </c>
      <c r="P73" s="150">
        <f t="shared" si="26"/>
        <v>0</v>
      </c>
      <c r="Q73" s="150">
        <f t="shared" si="27"/>
        <v>0</v>
      </c>
      <c r="R73" s="150">
        <f t="shared" si="28"/>
        <v>0</v>
      </c>
    </row>
    <row r="74" spans="1:18" x14ac:dyDescent="0.2">
      <c r="A74" s="392" t="s">
        <v>117</v>
      </c>
      <c r="B74" s="393"/>
      <c r="C74" s="20"/>
      <c r="D74" s="172">
        <f t="shared" ref="D74:J74" si="29">L74</f>
        <v>-7.5</v>
      </c>
      <c r="E74" s="173">
        <f t="shared" si="29"/>
        <v>-15</v>
      </c>
      <c r="F74" s="174">
        <f t="shared" si="29"/>
        <v>-22.5</v>
      </c>
      <c r="G74" s="174">
        <f t="shared" si="29"/>
        <v>-157.50000000000003</v>
      </c>
      <c r="H74" s="175">
        <f t="shared" si="29"/>
        <v>-112.5</v>
      </c>
      <c r="I74" s="174">
        <f t="shared" si="29"/>
        <v>0</v>
      </c>
      <c r="J74" s="175">
        <f t="shared" si="29"/>
        <v>0</v>
      </c>
      <c r="K74" s="5"/>
      <c r="L74" s="157">
        <f t="shared" ref="L74:R74" si="30">SUM(L63:L73)*-1</f>
        <v>-7.5</v>
      </c>
      <c r="M74" s="157">
        <f t="shared" si="30"/>
        <v>-15</v>
      </c>
      <c r="N74" s="157">
        <f t="shared" si="30"/>
        <v>-22.5</v>
      </c>
      <c r="O74" s="157">
        <f t="shared" si="30"/>
        <v>-157.50000000000003</v>
      </c>
      <c r="P74" s="157">
        <f t="shared" si="30"/>
        <v>-112.5</v>
      </c>
      <c r="Q74" s="157">
        <f t="shared" si="30"/>
        <v>0</v>
      </c>
      <c r="R74" s="157">
        <f t="shared" si="30"/>
        <v>0</v>
      </c>
    </row>
    <row r="75" spans="1:18" s="94" customFormat="1" x14ac:dyDescent="0.2">
      <c r="A75" s="381" t="s">
        <v>158</v>
      </c>
      <c r="B75" s="382"/>
      <c r="C75" s="383"/>
      <c r="D75" s="166"/>
      <c r="E75" s="197"/>
      <c r="F75" s="198"/>
      <c r="G75" s="198"/>
      <c r="H75" s="199"/>
      <c r="I75" s="197"/>
      <c r="J75" s="199"/>
      <c r="K75" s="200"/>
    </row>
    <row r="76" spans="1:18" x14ac:dyDescent="0.2">
      <c r="A76" s="384"/>
      <c r="B76" s="385"/>
      <c r="C76" s="386"/>
      <c r="D76" s="167">
        <f>D59+D74</f>
        <v>42.5</v>
      </c>
      <c r="E76" s="118">
        <f t="shared" ref="E76:J76" si="31">E59+E74</f>
        <v>65</v>
      </c>
      <c r="F76" s="113">
        <f t="shared" si="31"/>
        <v>67.5</v>
      </c>
      <c r="G76" s="113">
        <f t="shared" si="31"/>
        <v>-157.50000000000003</v>
      </c>
      <c r="H76" s="119">
        <f t="shared" si="31"/>
        <v>-112.5</v>
      </c>
      <c r="I76" s="118">
        <f t="shared" si="31"/>
        <v>0</v>
      </c>
      <c r="J76" s="119">
        <f t="shared" si="31"/>
        <v>0</v>
      </c>
    </row>
    <row r="77" spans="1:18" x14ac:dyDescent="0.2">
      <c r="A77" s="387"/>
      <c r="B77" s="388"/>
      <c r="C77" s="388"/>
      <c r="D77" s="201"/>
      <c r="E77" s="33"/>
      <c r="F77" s="35"/>
      <c r="G77" s="35"/>
      <c r="H77" s="34"/>
      <c r="I77" s="33"/>
      <c r="J77" s="34"/>
    </row>
    <row r="79" spans="1:18" x14ac:dyDescent="0.2">
      <c r="A79" s="202" t="str">
        <f>A44</f>
        <v>Total Zinsveränderungen im Folgejahr aus Umschuldung</v>
      </c>
      <c r="B79" s="203"/>
      <c r="C79" s="204"/>
      <c r="D79" s="205">
        <f>D44</f>
        <v>1.1000000000000001</v>
      </c>
      <c r="E79" s="202">
        <f t="shared" ref="E79:J79" si="32">E44</f>
        <v>2.5</v>
      </c>
      <c r="F79" s="203">
        <f t="shared" si="32"/>
        <v>16.600000000000001</v>
      </c>
      <c r="G79" s="203">
        <f t="shared" si="32"/>
        <v>-20</v>
      </c>
      <c r="H79" s="204">
        <f t="shared" si="32"/>
        <v>3.75</v>
      </c>
      <c r="I79" s="202">
        <f t="shared" si="32"/>
        <v>0</v>
      </c>
      <c r="J79" s="204">
        <f t="shared" si="32"/>
        <v>50</v>
      </c>
    </row>
    <row r="80" spans="1:18" x14ac:dyDescent="0.2">
      <c r="A80" s="206" t="str">
        <f>A75</f>
        <v>Total Zinsveränderung im Folgejahr aus Anlagen</v>
      </c>
      <c r="B80" s="207"/>
      <c r="C80" s="208"/>
      <c r="D80" s="209">
        <f>D76</f>
        <v>42.5</v>
      </c>
      <c r="E80" s="210">
        <f>E76</f>
        <v>65</v>
      </c>
      <c r="F80" s="211">
        <f t="shared" ref="F80:J80" si="33">F76</f>
        <v>67.5</v>
      </c>
      <c r="G80" s="211">
        <f t="shared" si="33"/>
        <v>-157.50000000000003</v>
      </c>
      <c r="H80" s="208">
        <f t="shared" si="33"/>
        <v>-112.5</v>
      </c>
      <c r="I80" s="210">
        <f t="shared" si="33"/>
        <v>0</v>
      </c>
      <c r="J80" s="208">
        <f t="shared" si="33"/>
        <v>0</v>
      </c>
    </row>
    <row r="81" spans="1:11" x14ac:dyDescent="0.2">
      <c r="A81" s="202"/>
      <c r="B81" s="203"/>
      <c r="C81" s="204"/>
      <c r="D81" s="205"/>
      <c r="E81" s="202"/>
      <c r="F81" s="203"/>
      <c r="G81" s="203"/>
      <c r="H81" s="204"/>
      <c r="I81" s="202"/>
      <c r="J81" s="204"/>
    </row>
    <row r="82" spans="1:11" x14ac:dyDescent="0.2">
      <c r="A82" s="206" t="s">
        <v>159</v>
      </c>
      <c r="B82" s="207"/>
      <c r="C82" s="208"/>
      <c r="D82" s="209">
        <f>ROUND(D79+D80,0)</f>
        <v>44</v>
      </c>
      <c r="E82" s="206">
        <f t="shared" ref="E82:J82" si="34">ROUND(E79+E80,0)</f>
        <v>68</v>
      </c>
      <c r="F82" s="207">
        <f t="shared" si="34"/>
        <v>84</v>
      </c>
      <c r="G82" s="207">
        <f t="shared" si="34"/>
        <v>-178</v>
      </c>
      <c r="H82" s="208">
        <f t="shared" si="34"/>
        <v>-109</v>
      </c>
      <c r="I82" s="206">
        <f t="shared" si="34"/>
        <v>0</v>
      </c>
      <c r="J82" s="208">
        <f t="shared" si="34"/>
        <v>50</v>
      </c>
    </row>
    <row r="83" spans="1:11" x14ac:dyDescent="0.2">
      <c r="A83" s="206" t="str">
        <f>"Total Zinsveränderung gegenüber Budget "&amp;D30</f>
        <v>Total Zinsveränderung gegenüber Budget 2017</v>
      </c>
      <c r="B83" s="207"/>
      <c r="C83" s="208"/>
      <c r="D83" s="209"/>
      <c r="E83" s="206">
        <f>D82+E82</f>
        <v>112</v>
      </c>
      <c r="F83" s="207">
        <f>E83+F82</f>
        <v>196</v>
      </c>
      <c r="G83" s="207">
        <f>F83+G82</f>
        <v>18</v>
      </c>
      <c r="H83" s="208">
        <f>G83+H82</f>
        <v>-91</v>
      </c>
      <c r="I83" s="206">
        <f>H83+I82</f>
        <v>-91</v>
      </c>
      <c r="J83" s="208">
        <f>I83+J82</f>
        <v>-41</v>
      </c>
    </row>
    <row r="84" spans="1:11" x14ac:dyDescent="0.2">
      <c r="A84" s="212" t="s">
        <v>166</v>
      </c>
      <c r="B84" s="211"/>
      <c r="C84" s="213"/>
      <c r="D84" s="214"/>
      <c r="E84" s="210"/>
      <c r="F84" s="211"/>
      <c r="G84" s="211"/>
      <c r="H84" s="213"/>
      <c r="I84" s="210"/>
      <c r="J84" s="213"/>
    </row>
    <row r="86" spans="1:11" x14ac:dyDescent="0.2">
      <c r="A86" s="42" t="s">
        <v>119</v>
      </c>
    </row>
    <row r="89" spans="1:11" x14ac:dyDescent="0.2">
      <c r="K89" s="11"/>
    </row>
  </sheetData>
  <sheetProtection algorithmName="SHA-512" hashValue="on6dYGs2wqHBk0KYAqOL03E47xlWjZLVLFUPavtACfStkL6DJXZZb7kb5xeEOz8lbUbVVrXnSe5490S1+xXQnQ==" saltValue="uiFyYc9EoCPNNEqzegWGtw==" spinCount="100000" sheet="1" objects="1" scenarios="1"/>
  <mergeCells count="22">
    <mergeCell ref="E29:H29"/>
    <mergeCell ref="I29:J29"/>
    <mergeCell ref="A42:B42"/>
    <mergeCell ref="A44:B44"/>
    <mergeCell ref="E5:E6"/>
    <mergeCell ref="F5:F6"/>
    <mergeCell ref="E2:J3"/>
    <mergeCell ref="G5:G6"/>
    <mergeCell ref="E14:H14"/>
    <mergeCell ref="I14:J14"/>
    <mergeCell ref="A14:B14"/>
    <mergeCell ref="A2:B3"/>
    <mergeCell ref="A5:B6"/>
    <mergeCell ref="H11:J11"/>
    <mergeCell ref="A75:C76"/>
    <mergeCell ref="A77:C77"/>
    <mergeCell ref="A27:B27"/>
    <mergeCell ref="A47:B47"/>
    <mergeCell ref="A59:B59"/>
    <mergeCell ref="A61:B61"/>
    <mergeCell ref="A74:B74"/>
    <mergeCell ref="A29:B29"/>
  </mergeCells>
  <phoneticPr fontId="1" type="noConversion"/>
  <pageMargins left="0.55118110236220474" right="0.43307086614173229" top="0.98425196850393704" bottom="0.98425196850393704" header="0.51181102362204722" footer="0.51181102362204722"/>
  <pageSetup paperSize="9" scale="77" orientation="portrait" r:id="rId1"/>
  <headerFooter alignWithMargins="0">
    <oddFooter>&amp;R&amp;D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opLeftCell="A4" zoomScale="150" zoomScaleNormal="150" workbookViewId="0">
      <selection sqref="A1:J41"/>
    </sheetView>
  </sheetViews>
  <sheetFormatPr baseColWidth="10" defaultRowHeight="11.25" x14ac:dyDescent="0.2"/>
  <cols>
    <col min="1" max="1" width="3.5" style="42" customWidth="1"/>
    <col min="2" max="2" width="32.75" style="5" customWidth="1"/>
    <col min="3" max="3" width="7.375" style="5" customWidth="1"/>
    <col min="4" max="4" width="7" style="5" customWidth="1"/>
    <col min="5" max="10" width="5.875" style="8" customWidth="1"/>
    <col min="11" max="11" width="11" style="8"/>
    <col min="12" max="16384" width="11" style="5"/>
  </cols>
  <sheetData>
    <row r="1" spans="1:12" x14ac:dyDescent="0.2">
      <c r="A1" s="1"/>
      <c r="B1" s="2"/>
      <c r="C1" s="2"/>
      <c r="D1" s="2"/>
      <c r="E1" s="3"/>
      <c r="F1" s="2"/>
      <c r="G1" s="91"/>
      <c r="H1" s="2"/>
      <c r="I1" s="3"/>
      <c r="J1" s="111"/>
      <c r="K1" s="5"/>
    </row>
    <row r="2" spans="1:12" ht="14.25" customHeight="1" x14ac:dyDescent="0.4">
      <c r="A2" s="354" t="str">
        <f>Ausgangsdaten!A2</f>
        <v xml:space="preserve">Korporation </v>
      </c>
      <c r="B2" s="355"/>
      <c r="C2" s="137"/>
      <c r="D2" s="137"/>
      <c r="E2" s="372" t="str">
        <f>Ausgangsdaten!C2</f>
        <v>Muster</v>
      </c>
      <c r="F2" s="372"/>
      <c r="G2" s="372"/>
      <c r="H2" s="372"/>
      <c r="I2" s="372"/>
      <c r="J2" s="373"/>
      <c r="K2" s="123"/>
      <c r="L2" s="123"/>
    </row>
    <row r="3" spans="1:12" ht="11.25" customHeight="1" x14ac:dyDescent="0.4">
      <c r="A3" s="354"/>
      <c r="B3" s="355"/>
      <c r="C3" s="137"/>
      <c r="D3" s="137"/>
      <c r="E3" s="372"/>
      <c r="F3" s="372"/>
      <c r="G3" s="372"/>
      <c r="H3" s="372"/>
      <c r="I3" s="372"/>
      <c r="J3" s="373"/>
      <c r="K3" s="123"/>
      <c r="L3" s="123"/>
    </row>
    <row r="4" spans="1:12" ht="11.25" customHeight="1" x14ac:dyDescent="0.25">
      <c r="A4" s="112"/>
      <c r="B4" s="6"/>
      <c r="C4" s="6"/>
      <c r="D4" s="6"/>
      <c r="E4" s="6"/>
      <c r="F4" s="6"/>
      <c r="G4" s="6"/>
      <c r="H4" s="6"/>
      <c r="I4" s="6"/>
      <c r="J4" s="73"/>
      <c r="K4" s="5"/>
    </row>
    <row r="5" spans="1:12" ht="11.25" customHeight="1" x14ac:dyDescent="0.25">
      <c r="A5" s="374" t="str">
        <f>Ausgangsdaten!A4</f>
        <v>Finanzplan</v>
      </c>
      <c r="B5" s="375"/>
      <c r="C5" s="138"/>
      <c r="D5" s="138"/>
      <c r="E5" s="362">
        <f>Ausgangsdaten!C4</f>
        <v>2017</v>
      </c>
      <c r="F5" s="363" t="s">
        <v>62</v>
      </c>
      <c r="G5" s="362">
        <f>Ausgangsdaten!E4</f>
        <v>2021</v>
      </c>
      <c r="H5" s="6"/>
      <c r="I5" s="6"/>
      <c r="J5" s="73"/>
      <c r="K5" s="5"/>
    </row>
    <row r="6" spans="1:12" ht="11.25" customHeight="1" x14ac:dyDescent="0.25">
      <c r="A6" s="374"/>
      <c r="B6" s="375"/>
      <c r="C6" s="138"/>
      <c r="D6" s="138"/>
      <c r="E6" s="363"/>
      <c r="F6" s="363"/>
      <c r="G6" s="363"/>
      <c r="H6" s="6"/>
      <c r="I6" s="6"/>
      <c r="J6" s="73"/>
      <c r="K6" s="5"/>
    </row>
    <row r="7" spans="1:12" x14ac:dyDescent="0.2">
      <c r="A7" s="15"/>
      <c r="B7" s="16"/>
      <c r="C7" s="16"/>
      <c r="D7" s="16"/>
      <c r="E7" s="17"/>
      <c r="F7" s="17"/>
      <c r="G7" s="17"/>
      <c r="H7" s="17"/>
      <c r="I7" s="17"/>
      <c r="J7" s="18"/>
    </row>
    <row r="10" spans="1:12" ht="14.25" customHeight="1" x14ac:dyDescent="0.2">
      <c r="A10" s="19"/>
      <c r="B10" s="20"/>
      <c r="C10" s="20"/>
      <c r="D10" s="20"/>
      <c r="E10" s="22"/>
      <c r="F10" s="22"/>
      <c r="G10" s="22"/>
      <c r="H10" s="22"/>
      <c r="I10" s="22"/>
      <c r="J10" s="21"/>
    </row>
    <row r="11" spans="1:12" x14ac:dyDescent="0.2">
      <c r="A11" s="348" t="s">
        <v>82</v>
      </c>
      <c r="B11" s="349"/>
      <c r="C11" s="71"/>
      <c r="D11" s="71"/>
      <c r="E11" s="113"/>
      <c r="F11" s="113"/>
      <c r="G11" s="113"/>
      <c r="H11" s="350" t="s">
        <v>85</v>
      </c>
      <c r="I11" s="378"/>
      <c r="J11" s="379"/>
    </row>
    <row r="12" spans="1:12" x14ac:dyDescent="0.2">
      <c r="A12" s="31"/>
      <c r="B12" s="32"/>
      <c r="C12" s="32"/>
      <c r="D12" s="32"/>
      <c r="E12" s="35"/>
      <c r="F12" s="35"/>
      <c r="G12" s="35"/>
      <c r="H12" s="35"/>
      <c r="I12" s="35"/>
      <c r="J12" s="34"/>
    </row>
    <row r="13" spans="1:12" ht="14.25" customHeight="1" x14ac:dyDescent="0.2">
      <c r="A13" s="19"/>
      <c r="B13" s="20"/>
      <c r="C13" s="141"/>
      <c r="D13" s="233"/>
      <c r="E13" s="23"/>
      <c r="F13" s="22"/>
      <c r="G13" s="22"/>
      <c r="H13" s="21"/>
      <c r="I13" s="22"/>
      <c r="J13" s="21"/>
    </row>
    <row r="14" spans="1:12" s="25" customFormat="1" ht="22.5" x14ac:dyDescent="0.2">
      <c r="A14" s="348" t="s">
        <v>39</v>
      </c>
      <c r="B14" s="349"/>
      <c r="C14" s="143" t="s">
        <v>81</v>
      </c>
      <c r="D14" s="234" t="s">
        <v>0</v>
      </c>
      <c r="E14" s="371" t="s">
        <v>26</v>
      </c>
      <c r="F14" s="358"/>
      <c r="G14" s="358"/>
      <c r="H14" s="359"/>
      <c r="I14" s="371" t="s">
        <v>66</v>
      </c>
      <c r="J14" s="359"/>
      <c r="K14" s="115"/>
    </row>
    <row r="15" spans="1:12" x14ac:dyDescent="0.2">
      <c r="A15" s="26"/>
      <c r="B15" s="27"/>
      <c r="C15" s="235" t="s">
        <v>98</v>
      </c>
      <c r="D15" s="236">
        <f>E15-1</f>
        <v>2017</v>
      </c>
      <c r="E15" s="28">
        <f>SUM(Ausgangsdaten!C13)</f>
        <v>2018</v>
      </c>
      <c r="F15" s="30">
        <f>SUM(E15+1)</f>
        <v>2019</v>
      </c>
      <c r="G15" s="30">
        <f t="shared" ref="G15:H15" si="0">SUM(F15+1)</f>
        <v>2020</v>
      </c>
      <c r="H15" s="29">
        <f t="shared" si="0"/>
        <v>2021</v>
      </c>
      <c r="I15" s="30">
        <f>E15+4</f>
        <v>2022</v>
      </c>
      <c r="J15" s="29">
        <f>E15+5</f>
        <v>2023</v>
      </c>
    </row>
    <row r="16" spans="1:12" x14ac:dyDescent="0.2">
      <c r="A16" s="31"/>
      <c r="B16" s="32"/>
      <c r="C16" s="237"/>
      <c r="D16" s="238"/>
      <c r="E16" s="33"/>
      <c r="F16" s="35"/>
      <c r="G16" s="35"/>
      <c r="H16" s="34"/>
      <c r="I16" s="35"/>
      <c r="J16" s="34"/>
    </row>
    <row r="17" spans="1:11" ht="15" x14ac:dyDescent="0.2">
      <c r="A17" s="127"/>
      <c r="B17" s="130" t="s">
        <v>138</v>
      </c>
      <c r="C17" s="242">
        <v>50</v>
      </c>
      <c r="D17" s="243">
        <v>450</v>
      </c>
      <c r="E17" s="120">
        <v>150</v>
      </c>
      <c r="F17" s="121">
        <v>150</v>
      </c>
      <c r="G17" s="121"/>
      <c r="H17" s="122"/>
      <c r="I17" s="121"/>
      <c r="J17" s="122"/>
      <c r="K17" s="239" t="str">
        <f>IF(SUM(D17:J17)&lt;&gt;0,IF(C17&lt;=0,"Achtung! Nutzungsdauer angeben",""),"")</f>
        <v/>
      </c>
    </row>
    <row r="18" spans="1:11" ht="15" x14ac:dyDescent="0.2">
      <c r="A18" s="129"/>
      <c r="B18" s="130" t="s">
        <v>167</v>
      </c>
      <c r="C18" s="242">
        <v>20</v>
      </c>
      <c r="D18" s="243"/>
      <c r="E18" s="120">
        <v>25</v>
      </c>
      <c r="F18" s="121">
        <v>25</v>
      </c>
      <c r="G18" s="121">
        <v>25</v>
      </c>
      <c r="H18" s="122"/>
      <c r="I18" s="121"/>
      <c r="J18" s="122"/>
      <c r="K18" s="239" t="str">
        <f t="shared" ref="K18:K37" si="1">IF(SUM(D18:J18)&lt;&gt;0,IF(C18&lt;=0,"Achtung! Nutzungsdauer angeben",""),"")</f>
        <v/>
      </c>
    </row>
    <row r="19" spans="1:11" ht="15" x14ac:dyDescent="0.2">
      <c r="A19" s="244"/>
      <c r="B19" s="128" t="s">
        <v>124</v>
      </c>
      <c r="C19" s="245">
        <v>10</v>
      </c>
      <c r="D19" s="246"/>
      <c r="E19" s="120"/>
      <c r="F19" s="121">
        <v>10</v>
      </c>
      <c r="G19" s="121">
        <v>10</v>
      </c>
      <c r="H19" s="122">
        <v>10</v>
      </c>
      <c r="I19" s="121">
        <v>10</v>
      </c>
      <c r="J19" s="122">
        <v>10</v>
      </c>
      <c r="K19" s="239" t="str">
        <f t="shared" si="1"/>
        <v/>
      </c>
    </row>
    <row r="20" spans="1:11" ht="15" x14ac:dyDescent="0.2">
      <c r="A20" s="244"/>
      <c r="B20" s="130" t="s">
        <v>123</v>
      </c>
      <c r="C20" s="242">
        <v>20</v>
      </c>
      <c r="D20" s="243"/>
      <c r="E20" s="120">
        <v>25</v>
      </c>
      <c r="F20" s="121">
        <v>25</v>
      </c>
      <c r="G20" s="121">
        <v>25</v>
      </c>
      <c r="H20" s="122"/>
      <c r="I20" s="121"/>
      <c r="J20" s="122"/>
      <c r="K20" s="239" t="str">
        <f t="shared" si="1"/>
        <v/>
      </c>
    </row>
    <row r="21" spans="1:11" ht="15" x14ac:dyDescent="0.2">
      <c r="A21" s="244"/>
      <c r="B21" s="128" t="s">
        <v>125</v>
      </c>
      <c r="C21" s="245">
        <v>5</v>
      </c>
      <c r="D21" s="246">
        <v>80</v>
      </c>
      <c r="E21" s="120"/>
      <c r="F21" s="121"/>
      <c r="G21" s="121"/>
      <c r="H21" s="122"/>
      <c r="I21" s="121"/>
      <c r="J21" s="122"/>
      <c r="K21" s="239" t="str">
        <f t="shared" si="1"/>
        <v/>
      </c>
    </row>
    <row r="22" spans="1:11" ht="15" x14ac:dyDescent="0.2">
      <c r="A22" s="131"/>
      <c r="B22" s="128"/>
      <c r="C22" s="245"/>
      <c r="D22" s="246"/>
      <c r="E22" s="120"/>
      <c r="F22" s="121"/>
      <c r="G22" s="121"/>
      <c r="H22" s="122"/>
      <c r="I22" s="121"/>
      <c r="J22" s="122"/>
      <c r="K22" s="239" t="str">
        <f t="shared" si="1"/>
        <v/>
      </c>
    </row>
    <row r="23" spans="1:11" ht="15" x14ac:dyDescent="0.2">
      <c r="A23" s="131"/>
      <c r="B23" s="247"/>
      <c r="C23" s="245"/>
      <c r="D23" s="246"/>
      <c r="E23" s="120"/>
      <c r="F23" s="121"/>
      <c r="G23" s="121"/>
      <c r="H23" s="122"/>
      <c r="I23" s="121"/>
      <c r="J23" s="122"/>
      <c r="K23" s="239" t="str">
        <f t="shared" si="1"/>
        <v/>
      </c>
    </row>
    <row r="24" spans="1:11" ht="15" x14ac:dyDescent="0.2">
      <c r="A24" s="131"/>
      <c r="B24" s="128"/>
      <c r="C24" s="245"/>
      <c r="D24" s="246"/>
      <c r="E24" s="120"/>
      <c r="F24" s="121"/>
      <c r="G24" s="121"/>
      <c r="H24" s="122"/>
      <c r="I24" s="121"/>
      <c r="J24" s="122"/>
      <c r="K24" s="239" t="str">
        <f t="shared" si="1"/>
        <v/>
      </c>
    </row>
    <row r="25" spans="1:11" ht="15" x14ac:dyDescent="0.2">
      <c r="A25" s="131"/>
      <c r="B25" s="247"/>
      <c r="C25" s="245"/>
      <c r="D25" s="246"/>
      <c r="E25" s="120"/>
      <c r="F25" s="121"/>
      <c r="G25" s="121"/>
      <c r="H25" s="122"/>
      <c r="I25" s="121"/>
      <c r="J25" s="122"/>
      <c r="K25" s="239" t="str">
        <f t="shared" si="1"/>
        <v/>
      </c>
    </row>
    <row r="26" spans="1:11" ht="15" x14ac:dyDescent="0.2">
      <c r="A26" s="131"/>
      <c r="B26" s="247"/>
      <c r="C26" s="245"/>
      <c r="D26" s="246"/>
      <c r="E26" s="120"/>
      <c r="F26" s="121"/>
      <c r="G26" s="121"/>
      <c r="H26" s="122"/>
      <c r="I26" s="121"/>
      <c r="J26" s="122"/>
      <c r="K26" s="239" t="str">
        <f t="shared" si="1"/>
        <v/>
      </c>
    </row>
    <row r="27" spans="1:11" ht="15" x14ac:dyDescent="0.2">
      <c r="A27" s="131"/>
      <c r="B27" s="128"/>
      <c r="C27" s="245"/>
      <c r="D27" s="246"/>
      <c r="E27" s="120"/>
      <c r="F27" s="121"/>
      <c r="G27" s="121"/>
      <c r="H27" s="122"/>
      <c r="I27" s="121"/>
      <c r="J27" s="122"/>
      <c r="K27" s="239" t="str">
        <f t="shared" si="1"/>
        <v/>
      </c>
    </row>
    <row r="28" spans="1:11" ht="15" x14ac:dyDescent="0.2">
      <c r="A28" s="131"/>
      <c r="B28" s="128"/>
      <c r="C28" s="245"/>
      <c r="D28" s="246"/>
      <c r="E28" s="120"/>
      <c r="F28" s="121"/>
      <c r="G28" s="121"/>
      <c r="H28" s="122"/>
      <c r="I28" s="121"/>
      <c r="J28" s="122"/>
      <c r="K28" s="239" t="str">
        <f t="shared" si="1"/>
        <v/>
      </c>
    </row>
    <row r="29" spans="1:11" ht="15" x14ac:dyDescent="0.2">
      <c r="A29" s="131"/>
      <c r="B29" s="128"/>
      <c r="C29" s="245"/>
      <c r="D29" s="246"/>
      <c r="E29" s="120"/>
      <c r="F29" s="121"/>
      <c r="G29" s="121"/>
      <c r="H29" s="122"/>
      <c r="I29" s="121"/>
      <c r="J29" s="122"/>
      <c r="K29" s="239" t="str">
        <f t="shared" si="1"/>
        <v/>
      </c>
    </row>
    <row r="30" spans="1:11" ht="15" x14ac:dyDescent="0.2">
      <c r="A30" s="131"/>
      <c r="B30" s="128"/>
      <c r="C30" s="245"/>
      <c r="D30" s="246"/>
      <c r="E30" s="120"/>
      <c r="F30" s="121"/>
      <c r="G30" s="121"/>
      <c r="H30" s="122"/>
      <c r="I30" s="121"/>
      <c r="J30" s="122"/>
      <c r="K30" s="239" t="str">
        <f t="shared" si="1"/>
        <v/>
      </c>
    </row>
    <row r="31" spans="1:11" ht="15" x14ac:dyDescent="0.2">
      <c r="A31" s="131"/>
      <c r="B31" s="128"/>
      <c r="C31" s="245"/>
      <c r="D31" s="246"/>
      <c r="E31" s="120"/>
      <c r="F31" s="121"/>
      <c r="G31" s="121"/>
      <c r="H31" s="122"/>
      <c r="I31" s="121"/>
      <c r="J31" s="122"/>
      <c r="K31" s="239" t="str">
        <f t="shared" si="1"/>
        <v/>
      </c>
    </row>
    <row r="32" spans="1:11" ht="15" x14ac:dyDescent="0.2">
      <c r="A32" s="131"/>
      <c r="B32" s="128"/>
      <c r="C32" s="245"/>
      <c r="D32" s="246"/>
      <c r="E32" s="120"/>
      <c r="F32" s="121"/>
      <c r="G32" s="121"/>
      <c r="H32" s="122"/>
      <c r="I32" s="121"/>
      <c r="J32" s="122"/>
      <c r="K32" s="239" t="str">
        <f t="shared" si="1"/>
        <v/>
      </c>
    </row>
    <row r="33" spans="1:11" ht="15" x14ac:dyDescent="0.2">
      <c r="A33" s="131"/>
      <c r="B33" s="128"/>
      <c r="C33" s="245"/>
      <c r="D33" s="246"/>
      <c r="E33" s="120"/>
      <c r="F33" s="121"/>
      <c r="G33" s="121"/>
      <c r="H33" s="122"/>
      <c r="I33" s="121"/>
      <c r="J33" s="122"/>
      <c r="K33" s="239" t="str">
        <f t="shared" si="1"/>
        <v/>
      </c>
    </row>
    <row r="34" spans="1:11" ht="15" x14ac:dyDescent="0.2">
      <c r="A34" s="131"/>
      <c r="B34" s="128"/>
      <c r="C34" s="245"/>
      <c r="D34" s="246"/>
      <c r="E34" s="120"/>
      <c r="F34" s="121"/>
      <c r="G34" s="121"/>
      <c r="H34" s="122"/>
      <c r="I34" s="121"/>
      <c r="J34" s="122"/>
      <c r="K34" s="239" t="str">
        <f t="shared" si="1"/>
        <v/>
      </c>
    </row>
    <row r="35" spans="1:11" ht="15" x14ac:dyDescent="0.2">
      <c r="A35" s="131"/>
      <c r="B35" s="128"/>
      <c r="C35" s="245"/>
      <c r="D35" s="246"/>
      <c r="E35" s="120"/>
      <c r="F35" s="121"/>
      <c r="G35" s="121"/>
      <c r="H35" s="122"/>
      <c r="I35" s="121"/>
      <c r="J35" s="122"/>
      <c r="K35" s="239" t="str">
        <f t="shared" si="1"/>
        <v/>
      </c>
    </row>
    <row r="36" spans="1:11" ht="15" x14ac:dyDescent="0.2">
      <c r="A36" s="131"/>
      <c r="B36" s="128"/>
      <c r="C36" s="245"/>
      <c r="D36" s="246"/>
      <c r="E36" s="133"/>
      <c r="F36" s="134"/>
      <c r="G36" s="134"/>
      <c r="H36" s="135"/>
      <c r="I36" s="121"/>
      <c r="J36" s="122"/>
      <c r="K36" s="239" t="str">
        <f t="shared" si="1"/>
        <v/>
      </c>
    </row>
    <row r="37" spans="1:11" ht="15" x14ac:dyDescent="0.2">
      <c r="A37" s="136"/>
      <c r="B37" s="128"/>
      <c r="C37" s="245"/>
      <c r="D37" s="246"/>
      <c r="E37" s="120"/>
      <c r="F37" s="121"/>
      <c r="G37" s="121"/>
      <c r="H37" s="122"/>
      <c r="I37" s="121"/>
      <c r="J37" s="122"/>
      <c r="K37" s="239" t="str">
        <f t="shared" si="1"/>
        <v/>
      </c>
    </row>
    <row r="38" spans="1:11" x14ac:dyDescent="0.2">
      <c r="A38" s="19"/>
      <c r="B38" s="20"/>
      <c r="C38" s="141"/>
      <c r="D38" s="141"/>
      <c r="E38" s="22"/>
      <c r="F38" s="22"/>
      <c r="G38" s="22"/>
      <c r="H38" s="22"/>
      <c r="I38" s="23"/>
      <c r="J38" s="21"/>
      <c r="K38" s="5"/>
    </row>
    <row r="39" spans="1:11" x14ac:dyDescent="0.2">
      <c r="A39" s="240" t="str">
        <f>"Total Nettoinvestitionen "&amp;D15&amp;" bis "&amp;H15</f>
        <v>Total Nettoinvestitionen 2017 bis 2021</v>
      </c>
      <c r="B39" s="241"/>
      <c r="C39" s="168">
        <f>SUM(D39:H39)</f>
        <v>1010</v>
      </c>
      <c r="D39" s="167">
        <f>SUM(D17:D37)</f>
        <v>530</v>
      </c>
      <c r="E39" s="113">
        <f>SUM(E17:E37)</f>
        <v>200</v>
      </c>
      <c r="F39" s="113">
        <f>SUM(F17:F37)</f>
        <v>210</v>
      </c>
      <c r="G39" s="113">
        <f>SUM(G17:G37)</f>
        <v>60</v>
      </c>
      <c r="H39" s="113">
        <f>SUM(H17:H37)</f>
        <v>10</v>
      </c>
      <c r="I39" s="118"/>
      <c r="J39" s="119"/>
      <c r="K39" s="95"/>
    </row>
    <row r="40" spans="1:11" x14ac:dyDescent="0.2">
      <c r="A40" s="240" t="str">
        <f>"Total Nettoinvestitionen "&amp;I15&amp;" bis "&amp;J15</f>
        <v>Total Nettoinvestitionen 2022 bis 2023</v>
      </c>
      <c r="B40" s="241"/>
      <c r="C40" s="168">
        <f>SUM(I40+J40)</f>
        <v>20</v>
      </c>
      <c r="D40" s="167"/>
      <c r="E40" s="113"/>
      <c r="F40" s="113"/>
      <c r="G40" s="113"/>
      <c r="H40" s="113"/>
      <c r="I40" s="118">
        <f>SUM(I17:I37)</f>
        <v>10</v>
      </c>
      <c r="J40" s="119">
        <f>SUM(J17:J37)</f>
        <v>10</v>
      </c>
      <c r="K40" s="5"/>
    </row>
    <row r="41" spans="1:11" x14ac:dyDescent="0.2">
      <c r="A41" s="31"/>
      <c r="B41" s="32"/>
      <c r="C41" s="237"/>
      <c r="D41" s="237"/>
      <c r="E41" s="35"/>
      <c r="F41" s="35"/>
      <c r="G41" s="35"/>
      <c r="H41" s="35"/>
      <c r="I41" s="33"/>
      <c r="J41" s="34"/>
      <c r="K41" s="5"/>
    </row>
    <row r="42" spans="1:11" x14ac:dyDescent="0.2">
      <c r="K42" s="5"/>
    </row>
    <row r="43" spans="1:11" x14ac:dyDescent="0.2">
      <c r="K43" s="5"/>
    </row>
    <row r="44" spans="1:11" x14ac:dyDescent="0.2">
      <c r="K44" s="5"/>
    </row>
    <row r="45" spans="1:11" x14ac:dyDescent="0.2">
      <c r="K45" s="5"/>
    </row>
    <row r="46" spans="1:11" x14ac:dyDescent="0.2">
      <c r="K46" s="5"/>
    </row>
    <row r="47" spans="1:11" x14ac:dyDescent="0.2">
      <c r="K47" s="5"/>
    </row>
    <row r="48" spans="1:11" x14ac:dyDescent="0.2">
      <c r="K48" s="5"/>
    </row>
    <row r="50" spans="1:11" x14ac:dyDescent="0.2">
      <c r="A50" s="5"/>
      <c r="E50" s="5"/>
      <c r="F50" s="5"/>
      <c r="G50" s="5"/>
      <c r="H50" s="5"/>
      <c r="I50" s="5"/>
      <c r="J50" s="5"/>
      <c r="K50" s="5"/>
    </row>
  </sheetData>
  <sheetProtection password="CF85" sheet="1" objects="1" scenarios="1"/>
  <mergeCells count="11">
    <mergeCell ref="H11:J11"/>
    <mergeCell ref="A14:B14"/>
    <mergeCell ref="A11:B11"/>
    <mergeCell ref="A2:B3"/>
    <mergeCell ref="A5:B6"/>
    <mergeCell ref="E5:E6"/>
    <mergeCell ref="F5:F6"/>
    <mergeCell ref="G5:G6"/>
    <mergeCell ref="E2:J3"/>
    <mergeCell ref="E14:H14"/>
    <mergeCell ref="I14:J14"/>
  </mergeCells>
  <phoneticPr fontId="1" type="noConversion"/>
  <pageMargins left="0.55118110236220474" right="0.43307086614173229" top="0.98425196850393704" bottom="0.98425196850393704" header="0.51181102362204722" footer="0.51181102362204722"/>
  <pageSetup paperSize="9" scale="99" orientation="portrait" r:id="rId1"/>
  <headerFooter alignWithMargins="0"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opLeftCell="A26" zoomScale="150" zoomScaleNormal="150" workbookViewId="0">
      <selection activeCell="J46" sqref="A2:J46"/>
    </sheetView>
  </sheetViews>
  <sheetFormatPr baseColWidth="10" defaultRowHeight="11.25" x14ac:dyDescent="0.2"/>
  <cols>
    <col min="1" max="1" width="3.5" style="42" customWidth="1"/>
    <col min="2" max="2" width="34.25" style="5" customWidth="1"/>
    <col min="3" max="3" width="5.75" style="5" customWidth="1"/>
    <col min="4" max="4" width="7.375" style="5" customWidth="1"/>
    <col min="5" max="5" width="5.75" style="5" customWidth="1"/>
    <col min="6" max="10" width="5.875" style="8" customWidth="1"/>
    <col min="11" max="11" width="11" style="8"/>
    <col min="12" max="16384" width="11" style="5"/>
  </cols>
  <sheetData>
    <row r="1" spans="1:13" x14ac:dyDescent="0.2">
      <c r="A1" s="1"/>
      <c r="B1" s="2"/>
      <c r="C1" s="2"/>
      <c r="D1" s="2"/>
      <c r="E1" s="2"/>
      <c r="F1" s="3"/>
      <c r="G1" s="2"/>
      <c r="H1" s="91"/>
      <c r="I1" s="2"/>
      <c r="J1" s="4"/>
      <c r="K1" s="5"/>
    </row>
    <row r="2" spans="1:13" ht="14.25" customHeight="1" x14ac:dyDescent="0.4">
      <c r="A2" s="405" t="str">
        <f>Ausgangsdaten!A2</f>
        <v xml:space="preserve">Korporation </v>
      </c>
      <c r="B2" s="406"/>
      <c r="C2" s="339"/>
      <c r="D2" s="339"/>
      <c r="E2" s="339"/>
      <c r="F2" s="407" t="str">
        <f>Ausgangsdaten!C2</f>
        <v>Muster</v>
      </c>
      <c r="G2" s="407"/>
      <c r="H2" s="407"/>
      <c r="I2" s="407"/>
      <c r="J2" s="408"/>
      <c r="K2" s="123"/>
      <c r="L2" s="123"/>
    </row>
    <row r="3" spans="1:13" ht="11.25" customHeight="1" x14ac:dyDescent="0.4">
      <c r="A3" s="354"/>
      <c r="B3" s="355"/>
      <c r="C3" s="137"/>
      <c r="D3" s="137"/>
      <c r="E3" s="137"/>
      <c r="F3" s="372"/>
      <c r="G3" s="372"/>
      <c r="H3" s="372"/>
      <c r="I3" s="372"/>
      <c r="J3" s="373"/>
      <c r="K3" s="123"/>
      <c r="L3" s="123"/>
    </row>
    <row r="4" spans="1:13" ht="11.25" customHeight="1" x14ac:dyDescent="0.25">
      <c r="A4" s="112"/>
      <c r="B4" s="6"/>
      <c r="C4" s="6"/>
      <c r="D4" s="6"/>
      <c r="E4" s="6"/>
      <c r="F4" s="6"/>
      <c r="G4" s="6"/>
      <c r="H4" s="6"/>
      <c r="I4" s="6"/>
      <c r="J4" s="7"/>
      <c r="K4" s="5"/>
    </row>
    <row r="5" spans="1:13" ht="11.25" customHeight="1" x14ac:dyDescent="0.25">
      <c r="A5" s="374" t="str">
        <f>Ausgangsdaten!A4</f>
        <v>Finanzplan</v>
      </c>
      <c r="B5" s="375"/>
      <c r="C5" s="138"/>
      <c r="D5" s="138"/>
      <c r="E5" s="138"/>
      <c r="F5" s="362">
        <f>Ausgangsdaten!C4</f>
        <v>2017</v>
      </c>
      <c r="G5" s="363" t="s">
        <v>62</v>
      </c>
      <c r="H5" s="362">
        <f>Ausgangsdaten!E4</f>
        <v>2021</v>
      </c>
      <c r="I5" s="6"/>
      <c r="J5" s="7"/>
      <c r="K5" s="5"/>
    </row>
    <row r="6" spans="1:13" ht="11.25" customHeight="1" x14ac:dyDescent="0.25">
      <c r="A6" s="374"/>
      <c r="B6" s="375"/>
      <c r="C6" s="138"/>
      <c r="D6" s="138"/>
      <c r="E6" s="138"/>
      <c r="F6" s="363"/>
      <c r="G6" s="363"/>
      <c r="H6" s="363"/>
      <c r="I6" s="6"/>
      <c r="J6" s="7"/>
      <c r="K6" s="5"/>
    </row>
    <row r="7" spans="1:13" x14ac:dyDescent="0.2">
      <c r="A7" s="15"/>
      <c r="B7" s="16"/>
      <c r="C7" s="16"/>
      <c r="D7" s="16"/>
      <c r="E7" s="16"/>
      <c r="F7" s="17"/>
      <c r="G7" s="17"/>
      <c r="H7" s="17"/>
      <c r="I7" s="17"/>
      <c r="J7" s="18"/>
    </row>
    <row r="8" spans="1:13" x14ac:dyDescent="0.2">
      <c r="A8" s="91"/>
      <c r="B8" s="10"/>
      <c r="C8" s="10"/>
      <c r="D8" s="10"/>
      <c r="E8" s="10"/>
      <c r="F8" s="11"/>
      <c r="G8" s="11"/>
      <c r="H8" s="11"/>
      <c r="I8" s="11"/>
      <c r="J8" s="11"/>
      <c r="K8" s="11"/>
    </row>
    <row r="9" spans="1:13" x14ac:dyDescent="0.2">
      <c r="A9" s="77"/>
      <c r="B9" s="10"/>
      <c r="C9" s="10"/>
      <c r="D9" s="10"/>
      <c r="E9" s="10"/>
      <c r="F9" s="11"/>
      <c r="G9" s="11"/>
      <c r="H9" s="11"/>
      <c r="I9" s="11"/>
      <c r="J9" s="17"/>
    </row>
    <row r="10" spans="1:13" ht="14.25" customHeight="1" x14ac:dyDescent="0.2">
      <c r="A10" s="19"/>
      <c r="B10" s="20"/>
      <c r="C10" s="20"/>
      <c r="D10" s="20"/>
      <c r="E10" s="20"/>
      <c r="F10" s="22"/>
      <c r="G10" s="22"/>
      <c r="H10" s="22"/>
      <c r="I10" s="22"/>
      <c r="J10" s="21"/>
    </row>
    <row r="11" spans="1:13" ht="14.25" customHeight="1" x14ac:dyDescent="0.2">
      <c r="A11" s="348" t="s">
        <v>89</v>
      </c>
      <c r="B11" s="349"/>
      <c r="C11" s="71"/>
      <c r="D11" s="71"/>
      <c r="E11" s="71"/>
      <c r="F11" s="113"/>
      <c r="G11" s="113"/>
      <c r="H11" s="350" t="s">
        <v>85</v>
      </c>
      <c r="I11" s="350"/>
      <c r="J11" s="351"/>
    </row>
    <row r="12" spans="1:13" x14ac:dyDescent="0.2">
      <c r="A12" s="31"/>
      <c r="B12" s="32"/>
      <c r="C12" s="32"/>
      <c r="D12" s="32"/>
      <c r="E12" s="32"/>
      <c r="F12" s="35"/>
      <c r="G12" s="35"/>
      <c r="H12" s="35"/>
      <c r="I12" s="35"/>
      <c r="J12" s="34"/>
    </row>
    <row r="13" spans="1:13" ht="14.25" customHeight="1" x14ac:dyDescent="0.2">
      <c r="A13" s="19"/>
      <c r="B13" s="20"/>
      <c r="C13" s="20"/>
      <c r="D13" s="141"/>
      <c r="E13" s="233"/>
      <c r="F13" s="22"/>
      <c r="G13" s="22"/>
      <c r="H13" s="21"/>
      <c r="I13" s="22"/>
      <c r="J13" s="21"/>
    </row>
    <row r="14" spans="1:13" s="25" customFormat="1" ht="22.5" x14ac:dyDescent="0.2">
      <c r="A14" s="348" t="s">
        <v>82</v>
      </c>
      <c r="B14" s="349"/>
      <c r="C14" s="71"/>
      <c r="D14" s="143" t="s">
        <v>81</v>
      </c>
      <c r="E14" s="402" t="s">
        <v>101</v>
      </c>
      <c r="F14" s="403"/>
      <c r="G14" s="403"/>
      <c r="H14" s="404"/>
      <c r="I14" s="358" t="s">
        <v>66</v>
      </c>
      <c r="J14" s="359"/>
      <c r="K14" s="115"/>
    </row>
    <row r="15" spans="1:13" x14ac:dyDescent="0.2">
      <c r="A15" s="26"/>
      <c r="B15" s="27"/>
      <c r="C15" s="27"/>
      <c r="D15" s="235" t="s">
        <v>99</v>
      </c>
      <c r="E15" s="236">
        <f>Investitionen!E15</f>
        <v>2018</v>
      </c>
      <c r="F15" s="30">
        <f>E15+1</f>
        <v>2019</v>
      </c>
      <c r="G15" s="30">
        <f t="shared" ref="G15:J15" si="0">F15+1</f>
        <v>2020</v>
      </c>
      <c r="H15" s="29">
        <f t="shared" si="0"/>
        <v>2021</v>
      </c>
      <c r="I15" s="30">
        <f t="shared" si="0"/>
        <v>2022</v>
      </c>
      <c r="J15" s="29">
        <f t="shared" si="0"/>
        <v>2023</v>
      </c>
      <c r="M15" s="10"/>
    </row>
    <row r="16" spans="1:13" x14ac:dyDescent="0.2">
      <c r="A16" s="31"/>
      <c r="B16" s="32"/>
      <c r="C16" s="32"/>
      <c r="D16" s="237"/>
      <c r="E16" s="248"/>
      <c r="F16" s="35"/>
      <c r="G16" s="113"/>
      <c r="H16" s="119"/>
      <c r="I16" s="113"/>
      <c r="J16" s="34"/>
    </row>
    <row r="17" spans="1:11" x14ac:dyDescent="0.2">
      <c r="A17" s="249">
        <f>Investitionen!A17</f>
        <v>0</v>
      </c>
      <c r="B17" s="250" t="str">
        <f>Investitionen!B17</f>
        <v>Forsthaus</v>
      </c>
      <c r="C17" s="250"/>
      <c r="D17" s="249">
        <f>Investitionen!C17</f>
        <v>50</v>
      </c>
      <c r="E17" s="251">
        <f>IF(Investitionen!D17="","",Investitionen!D17/Investitionen!$C17)</f>
        <v>9</v>
      </c>
      <c r="F17" s="252">
        <f>IF(Investitionen!E17="","",Investitionen!E17/Investitionen!$C17)</f>
        <v>3</v>
      </c>
      <c r="G17" s="252">
        <f>IF(Investitionen!F17="","",Investitionen!F17/Investitionen!$C17)</f>
        <v>3</v>
      </c>
      <c r="H17" s="253" t="str">
        <f>IF(Investitionen!G17="","",Investitionen!G17/Investitionen!$C17)</f>
        <v/>
      </c>
      <c r="I17" s="252" t="str">
        <f>IF(Investitionen!H17="","",Investitionen!H17/Investitionen!$C17)</f>
        <v/>
      </c>
      <c r="J17" s="196" t="str">
        <f>IF(Investitionen!I17="","",Investitionen!I17/Investitionen!$C17)</f>
        <v/>
      </c>
      <c r="K17" s="5"/>
    </row>
    <row r="18" spans="1:11" x14ac:dyDescent="0.2">
      <c r="A18" s="249">
        <f>Investitionen!A18</f>
        <v>0</v>
      </c>
      <c r="B18" s="250" t="str">
        <f>Investitionen!B18</f>
        <v>Maschinen</v>
      </c>
      <c r="C18" s="250"/>
      <c r="D18" s="249">
        <f>Investitionen!C18</f>
        <v>20</v>
      </c>
      <c r="E18" s="194" t="str">
        <f>IF(Investitionen!D18="","",Investitionen!D18/Investitionen!$C18)</f>
        <v/>
      </c>
      <c r="F18" s="195">
        <f>IF(Investitionen!E18="","",Investitionen!E18/Investitionen!$C18)</f>
        <v>1.25</v>
      </c>
      <c r="G18" s="195">
        <f>IF(Investitionen!F18="","",Investitionen!F18/Investitionen!$C18)</f>
        <v>1.25</v>
      </c>
      <c r="H18" s="196">
        <f>IF(Investitionen!G18="","",Investitionen!G18/Investitionen!$C18)</f>
        <v>1.25</v>
      </c>
      <c r="I18" s="195" t="str">
        <f>IF(Investitionen!H18="","",Investitionen!H18/Investitionen!$C18)</f>
        <v/>
      </c>
      <c r="J18" s="196" t="str">
        <f>IF(Investitionen!I18="","",Investitionen!I18/Investitionen!$C18)</f>
        <v/>
      </c>
      <c r="K18" s="5"/>
    </row>
    <row r="19" spans="1:11" x14ac:dyDescent="0.2">
      <c r="A19" s="249">
        <f>Investitionen!A19</f>
        <v>0</v>
      </c>
      <c r="B19" s="250" t="str">
        <f>Investitionen!B19</f>
        <v>Strassenzufahrt</v>
      </c>
      <c r="C19" s="250"/>
      <c r="D19" s="249">
        <f>Investitionen!C19</f>
        <v>10</v>
      </c>
      <c r="E19" s="194" t="str">
        <f>IF(Investitionen!D19="","",Investitionen!D19/Investitionen!$C19)</f>
        <v/>
      </c>
      <c r="F19" s="195" t="str">
        <f>IF(Investitionen!E19="","",Investitionen!E19/Investitionen!$C19)</f>
        <v/>
      </c>
      <c r="G19" s="195">
        <f>IF(Investitionen!F19="","",Investitionen!F19/Investitionen!$C19)</f>
        <v>1</v>
      </c>
      <c r="H19" s="196">
        <f>IF(Investitionen!G19="","",Investitionen!G19/Investitionen!$C19)</f>
        <v>1</v>
      </c>
      <c r="I19" s="195">
        <f>IF(Investitionen!H19="","",Investitionen!H19/Investitionen!$C19)</f>
        <v>1</v>
      </c>
      <c r="J19" s="196">
        <f>IF(Investitionen!I19="","",Investitionen!I19/Investitionen!$C19)</f>
        <v>1</v>
      </c>
      <c r="K19" s="5"/>
    </row>
    <row r="20" spans="1:11" x14ac:dyDescent="0.2">
      <c r="A20" s="249">
        <f>Investitionen!A20</f>
        <v>0</v>
      </c>
      <c r="B20" s="250" t="str">
        <f>Investitionen!B20</f>
        <v>Holzlader</v>
      </c>
      <c r="C20" s="250"/>
      <c r="D20" s="249">
        <f>Investitionen!C20</f>
        <v>20</v>
      </c>
      <c r="E20" s="194" t="str">
        <f>IF(Investitionen!D20="","",Investitionen!D20/Investitionen!$C20)</f>
        <v/>
      </c>
      <c r="F20" s="195">
        <f>IF(Investitionen!E20="","",Investitionen!E20/Investitionen!$C20)</f>
        <v>1.25</v>
      </c>
      <c r="G20" s="195">
        <f>IF(Investitionen!F20="","",Investitionen!F20/Investitionen!$C20)</f>
        <v>1.25</v>
      </c>
      <c r="H20" s="196">
        <f>IF(Investitionen!G20="","",Investitionen!G20/Investitionen!$C20)</f>
        <v>1.25</v>
      </c>
      <c r="I20" s="195" t="str">
        <f>IF(Investitionen!H20="","",Investitionen!H20/Investitionen!$C20)</f>
        <v/>
      </c>
      <c r="J20" s="196" t="str">
        <f>IF(Investitionen!I20="","",Investitionen!I20/Investitionen!$C20)</f>
        <v/>
      </c>
      <c r="K20" s="5"/>
    </row>
    <row r="21" spans="1:11" x14ac:dyDescent="0.2">
      <c r="A21" s="249">
        <f>Investitionen!A21</f>
        <v>0</v>
      </c>
      <c r="B21" s="250" t="str">
        <f>Investitionen!B21</f>
        <v>Neue IT</v>
      </c>
      <c r="C21" s="250"/>
      <c r="D21" s="249">
        <f>Investitionen!C21</f>
        <v>5</v>
      </c>
      <c r="E21" s="194">
        <f>IF(Investitionen!D21="","",Investitionen!D21/Investitionen!$C21)</f>
        <v>16</v>
      </c>
      <c r="F21" s="195" t="str">
        <f>IF(Investitionen!E21="","",Investitionen!E21/Investitionen!$C21)</f>
        <v/>
      </c>
      <c r="G21" s="195" t="str">
        <f>IF(Investitionen!F21="","",Investitionen!F21/Investitionen!$C21)</f>
        <v/>
      </c>
      <c r="H21" s="196" t="str">
        <f>IF(Investitionen!G21="","",Investitionen!G21/Investitionen!$C21)</f>
        <v/>
      </c>
      <c r="I21" s="195" t="str">
        <f>IF(Investitionen!H21="","",Investitionen!H21/Investitionen!$C21)</f>
        <v/>
      </c>
      <c r="J21" s="196" t="str">
        <f>IF(Investitionen!I21="","",Investitionen!I21/Investitionen!$C21)</f>
        <v/>
      </c>
      <c r="K21" s="5"/>
    </row>
    <row r="22" spans="1:11" x14ac:dyDescent="0.2">
      <c r="A22" s="249">
        <f>Investitionen!A22</f>
        <v>0</v>
      </c>
      <c r="B22" s="250">
        <f>Investitionen!B22</f>
        <v>0</v>
      </c>
      <c r="C22" s="250"/>
      <c r="D22" s="249">
        <f>Investitionen!C22</f>
        <v>0</v>
      </c>
      <c r="E22" s="194" t="str">
        <f>IF(Investitionen!D22="","",Investitionen!D22/Investitionen!$C22)</f>
        <v/>
      </c>
      <c r="F22" s="195" t="str">
        <f>IF(Investitionen!E22="","",Investitionen!E22/Investitionen!$C22)</f>
        <v/>
      </c>
      <c r="G22" s="195" t="str">
        <f>IF(Investitionen!F22="","",Investitionen!F22/Investitionen!$C22)</f>
        <v/>
      </c>
      <c r="H22" s="196" t="str">
        <f>IF(Investitionen!G22="","",Investitionen!G22/Investitionen!$C22)</f>
        <v/>
      </c>
      <c r="I22" s="195" t="str">
        <f>IF(Investitionen!H22="","",Investitionen!H22/Investitionen!$C22)</f>
        <v/>
      </c>
      <c r="J22" s="196" t="str">
        <f>IF(Investitionen!I22="","",Investitionen!I22/Investitionen!$C22)</f>
        <v/>
      </c>
      <c r="K22" s="5"/>
    </row>
    <row r="23" spans="1:11" x14ac:dyDescent="0.2">
      <c r="A23" s="249">
        <f>Investitionen!A23</f>
        <v>0</v>
      </c>
      <c r="B23" s="250">
        <f>Investitionen!B23</f>
        <v>0</v>
      </c>
      <c r="C23" s="250"/>
      <c r="D23" s="249">
        <f>Investitionen!C23</f>
        <v>0</v>
      </c>
      <c r="E23" s="194" t="str">
        <f>IF(Investitionen!D23="","",Investitionen!D23/Investitionen!$C23)</f>
        <v/>
      </c>
      <c r="F23" s="195" t="str">
        <f>IF(Investitionen!E23="","",Investitionen!E23/Investitionen!$C23)</f>
        <v/>
      </c>
      <c r="G23" s="195" t="str">
        <f>IF(Investitionen!F23="","",Investitionen!F23/Investitionen!$C23)</f>
        <v/>
      </c>
      <c r="H23" s="196" t="str">
        <f>IF(Investitionen!G23="","",Investitionen!G23/Investitionen!$C23)</f>
        <v/>
      </c>
      <c r="I23" s="195" t="str">
        <f>IF(Investitionen!H23="","",Investitionen!H23/Investitionen!$C23)</f>
        <v/>
      </c>
      <c r="J23" s="196" t="str">
        <f>IF(Investitionen!I23="","",Investitionen!I23/Investitionen!$C23)</f>
        <v/>
      </c>
      <c r="K23" s="5"/>
    </row>
    <row r="24" spans="1:11" x14ac:dyDescent="0.2">
      <c r="A24" s="249">
        <f>Investitionen!A24</f>
        <v>0</v>
      </c>
      <c r="B24" s="250">
        <f>Investitionen!B24</f>
        <v>0</v>
      </c>
      <c r="C24" s="250"/>
      <c r="D24" s="249">
        <f>Investitionen!C24</f>
        <v>0</v>
      </c>
      <c r="E24" s="194" t="str">
        <f>IF(Investitionen!D24="","",Investitionen!D24/Investitionen!$C24)</f>
        <v/>
      </c>
      <c r="F24" s="195" t="str">
        <f>IF(Investitionen!E24="","",Investitionen!E24/Investitionen!$C24)</f>
        <v/>
      </c>
      <c r="G24" s="195" t="str">
        <f>IF(Investitionen!F24="","",Investitionen!F24/Investitionen!$C24)</f>
        <v/>
      </c>
      <c r="H24" s="196" t="str">
        <f>IF(Investitionen!G24="","",Investitionen!G24/Investitionen!$C24)</f>
        <v/>
      </c>
      <c r="I24" s="195" t="str">
        <f>IF(Investitionen!H24="","",Investitionen!H24/Investitionen!$C24)</f>
        <v/>
      </c>
      <c r="J24" s="196" t="str">
        <f>IF(Investitionen!I24="","",Investitionen!I24/Investitionen!$C24)</f>
        <v/>
      </c>
      <c r="K24" s="5"/>
    </row>
    <row r="25" spans="1:11" x14ac:dyDescent="0.2">
      <c r="A25" s="249">
        <f>Investitionen!A25</f>
        <v>0</v>
      </c>
      <c r="B25" s="250">
        <f>Investitionen!B25</f>
        <v>0</v>
      </c>
      <c r="C25" s="250"/>
      <c r="D25" s="249">
        <f>Investitionen!C25</f>
        <v>0</v>
      </c>
      <c r="E25" s="194" t="str">
        <f>IF(Investitionen!D25="","",Investitionen!D25/Investitionen!$C25)</f>
        <v/>
      </c>
      <c r="F25" s="195" t="str">
        <f>IF(Investitionen!E25="","",Investitionen!E25/Investitionen!$C25)</f>
        <v/>
      </c>
      <c r="G25" s="195" t="str">
        <f>IF(Investitionen!F25="","",Investitionen!F25/Investitionen!$C25)</f>
        <v/>
      </c>
      <c r="H25" s="196" t="str">
        <f>IF(Investitionen!G25="","",Investitionen!G25/Investitionen!$C25)</f>
        <v/>
      </c>
      <c r="I25" s="195" t="str">
        <f>IF(Investitionen!H25="","",Investitionen!H25/Investitionen!$C25)</f>
        <v/>
      </c>
      <c r="J25" s="196" t="str">
        <f>IF(Investitionen!I25="","",Investitionen!I25/Investitionen!$C25)</f>
        <v/>
      </c>
      <c r="K25" s="5"/>
    </row>
    <row r="26" spans="1:11" x14ac:dyDescent="0.2">
      <c r="A26" s="249">
        <f>Investitionen!A26</f>
        <v>0</v>
      </c>
      <c r="B26" s="250">
        <f>Investitionen!B26</f>
        <v>0</v>
      </c>
      <c r="C26" s="250"/>
      <c r="D26" s="249">
        <f>Investitionen!C26</f>
        <v>0</v>
      </c>
      <c r="E26" s="194" t="str">
        <f>IF(Investitionen!D26="","",Investitionen!D26/Investitionen!$C26)</f>
        <v/>
      </c>
      <c r="F26" s="195" t="str">
        <f>IF(Investitionen!E26="","",Investitionen!E26/Investitionen!$C26)</f>
        <v/>
      </c>
      <c r="G26" s="195" t="str">
        <f>IF(Investitionen!F26="","",Investitionen!F26/Investitionen!$C26)</f>
        <v/>
      </c>
      <c r="H26" s="196" t="str">
        <f>IF(Investitionen!G26="","",Investitionen!G26/Investitionen!$C26)</f>
        <v/>
      </c>
      <c r="I26" s="195" t="str">
        <f>IF(Investitionen!H26="","",Investitionen!H26/Investitionen!$C26)</f>
        <v/>
      </c>
      <c r="J26" s="196" t="str">
        <f>IF(Investitionen!I26="","",Investitionen!I26/Investitionen!$C26)</f>
        <v/>
      </c>
      <c r="K26" s="5"/>
    </row>
    <row r="27" spans="1:11" x14ac:dyDescent="0.2">
      <c r="A27" s="249">
        <f>Investitionen!A27</f>
        <v>0</v>
      </c>
      <c r="B27" s="250">
        <f>Investitionen!B27</f>
        <v>0</v>
      </c>
      <c r="C27" s="250"/>
      <c r="D27" s="249">
        <f>Investitionen!C27</f>
        <v>0</v>
      </c>
      <c r="E27" s="194" t="str">
        <f>IF(Investitionen!D27="","",Investitionen!D27/Investitionen!$C27)</f>
        <v/>
      </c>
      <c r="F27" s="195" t="str">
        <f>IF(Investitionen!E27="","",Investitionen!E27/Investitionen!$C27)</f>
        <v/>
      </c>
      <c r="G27" s="195" t="str">
        <f>IF(Investitionen!F27="","",Investitionen!F27/Investitionen!$C27)</f>
        <v/>
      </c>
      <c r="H27" s="196" t="str">
        <f>IF(Investitionen!G27="","",Investitionen!G27/Investitionen!$C27)</f>
        <v/>
      </c>
      <c r="I27" s="195" t="str">
        <f>IF(Investitionen!H27="","",Investitionen!H27/Investitionen!$C27)</f>
        <v/>
      </c>
      <c r="J27" s="196" t="str">
        <f>IF(Investitionen!I27="","",Investitionen!I27/Investitionen!$C27)</f>
        <v/>
      </c>
      <c r="K27" s="5"/>
    </row>
    <row r="28" spans="1:11" x14ac:dyDescent="0.2">
      <c r="A28" s="249">
        <f>Investitionen!A28</f>
        <v>0</v>
      </c>
      <c r="B28" s="250">
        <f>Investitionen!B28</f>
        <v>0</v>
      </c>
      <c r="C28" s="250"/>
      <c r="D28" s="249">
        <f>Investitionen!C28</f>
        <v>0</v>
      </c>
      <c r="E28" s="194" t="str">
        <f>IF(Investitionen!D28="","",Investitionen!D28/Investitionen!$C28)</f>
        <v/>
      </c>
      <c r="F28" s="195" t="str">
        <f>IF(Investitionen!E28="","",Investitionen!E28/Investitionen!$C28)</f>
        <v/>
      </c>
      <c r="G28" s="195" t="str">
        <f>IF(Investitionen!F28="","",Investitionen!F28/Investitionen!$C28)</f>
        <v/>
      </c>
      <c r="H28" s="196" t="str">
        <f>IF(Investitionen!G28="","",Investitionen!G28/Investitionen!$C28)</f>
        <v/>
      </c>
      <c r="I28" s="195" t="str">
        <f>IF(Investitionen!H28="","",Investitionen!H28/Investitionen!$C28)</f>
        <v/>
      </c>
      <c r="J28" s="196" t="str">
        <f>IF(Investitionen!I28="","",Investitionen!I28/Investitionen!$C28)</f>
        <v/>
      </c>
      <c r="K28" s="5"/>
    </row>
    <row r="29" spans="1:11" x14ac:dyDescent="0.2">
      <c r="A29" s="249">
        <f>Investitionen!A29</f>
        <v>0</v>
      </c>
      <c r="B29" s="250">
        <f>Investitionen!B29</f>
        <v>0</v>
      </c>
      <c r="C29" s="250"/>
      <c r="D29" s="249">
        <f>Investitionen!C29</f>
        <v>0</v>
      </c>
      <c r="E29" s="194" t="str">
        <f>IF(Investitionen!D29="","",Investitionen!D29/Investitionen!$C29)</f>
        <v/>
      </c>
      <c r="F29" s="195" t="str">
        <f>IF(Investitionen!E29="","",Investitionen!E29/Investitionen!$C29)</f>
        <v/>
      </c>
      <c r="G29" s="195" t="str">
        <f>IF(Investitionen!F29="","",Investitionen!F29/Investitionen!$C29)</f>
        <v/>
      </c>
      <c r="H29" s="196" t="str">
        <f>IF(Investitionen!G29="","",Investitionen!G29/Investitionen!$C29)</f>
        <v/>
      </c>
      <c r="I29" s="195" t="str">
        <f>IF(Investitionen!H29="","",Investitionen!H29/Investitionen!$C29)</f>
        <v/>
      </c>
      <c r="J29" s="196" t="str">
        <f>IF(Investitionen!I29="","",Investitionen!I29/Investitionen!$C29)</f>
        <v/>
      </c>
      <c r="K29" s="5"/>
    </row>
    <row r="30" spans="1:11" x14ac:dyDescent="0.2">
      <c r="A30" s="249">
        <f>Investitionen!A30</f>
        <v>0</v>
      </c>
      <c r="B30" s="250">
        <f>Investitionen!B30</f>
        <v>0</v>
      </c>
      <c r="C30" s="250"/>
      <c r="D30" s="249">
        <f>Investitionen!C30</f>
        <v>0</v>
      </c>
      <c r="E30" s="194" t="str">
        <f>IF(Investitionen!D30="","",Investitionen!D30/Investitionen!$C30)</f>
        <v/>
      </c>
      <c r="F30" s="195" t="str">
        <f>IF(Investitionen!E30="","",Investitionen!E30/Investitionen!$C30)</f>
        <v/>
      </c>
      <c r="G30" s="195" t="str">
        <f>IF(Investitionen!F30="","",Investitionen!F30/Investitionen!$C30)</f>
        <v/>
      </c>
      <c r="H30" s="196" t="str">
        <f>IF(Investitionen!G30="","",Investitionen!G30/Investitionen!$C30)</f>
        <v/>
      </c>
      <c r="I30" s="195" t="str">
        <f>IF(Investitionen!H30="","",Investitionen!H30/Investitionen!$C30)</f>
        <v/>
      </c>
      <c r="J30" s="196" t="str">
        <f>IF(Investitionen!I30="","",Investitionen!I30/Investitionen!$C30)</f>
        <v/>
      </c>
      <c r="K30" s="5"/>
    </row>
    <row r="31" spans="1:11" x14ac:dyDescent="0.2">
      <c r="A31" s="249">
        <f>Investitionen!A31</f>
        <v>0</v>
      </c>
      <c r="B31" s="250">
        <f>Investitionen!B31</f>
        <v>0</v>
      </c>
      <c r="C31" s="250"/>
      <c r="D31" s="249">
        <f>Investitionen!C31</f>
        <v>0</v>
      </c>
      <c r="E31" s="194" t="str">
        <f>IF(Investitionen!D31="","",Investitionen!D31/Investitionen!$C31)</f>
        <v/>
      </c>
      <c r="F31" s="195" t="str">
        <f>IF(Investitionen!E31="","",Investitionen!E31/Investitionen!$C31)</f>
        <v/>
      </c>
      <c r="G31" s="195" t="str">
        <f>IF(Investitionen!F31="","",Investitionen!F31/Investitionen!$C31)</f>
        <v/>
      </c>
      <c r="H31" s="196" t="str">
        <f>IF(Investitionen!G31="","",Investitionen!G31/Investitionen!$C31)</f>
        <v/>
      </c>
      <c r="I31" s="195" t="str">
        <f>IF(Investitionen!H31="","",Investitionen!H31/Investitionen!$C31)</f>
        <v/>
      </c>
      <c r="J31" s="196" t="str">
        <f>IF(Investitionen!I31="","",Investitionen!I31/Investitionen!$C31)</f>
        <v/>
      </c>
      <c r="K31" s="5"/>
    </row>
    <row r="32" spans="1:11" x14ac:dyDescent="0.2">
      <c r="A32" s="249">
        <f>Investitionen!A32</f>
        <v>0</v>
      </c>
      <c r="B32" s="250">
        <f>Investitionen!B32</f>
        <v>0</v>
      </c>
      <c r="C32" s="250"/>
      <c r="D32" s="249">
        <f>Investitionen!C32</f>
        <v>0</v>
      </c>
      <c r="E32" s="194" t="str">
        <f>IF(Investitionen!D32="","",Investitionen!D32/Investitionen!$C32)</f>
        <v/>
      </c>
      <c r="F32" s="195" t="str">
        <f>IF(Investitionen!E32="","",Investitionen!E32/Investitionen!$C32)</f>
        <v/>
      </c>
      <c r="G32" s="195" t="str">
        <f>IF(Investitionen!F32="","",Investitionen!F32/Investitionen!$C32)</f>
        <v/>
      </c>
      <c r="H32" s="196" t="str">
        <f>IF(Investitionen!G32="","",Investitionen!G32/Investitionen!$C32)</f>
        <v/>
      </c>
      <c r="I32" s="195" t="str">
        <f>IF(Investitionen!H32="","",Investitionen!H32/Investitionen!$C32)</f>
        <v/>
      </c>
      <c r="J32" s="196" t="str">
        <f>IF(Investitionen!I32="","",Investitionen!I32/Investitionen!$C32)</f>
        <v/>
      </c>
      <c r="K32" s="5"/>
    </row>
    <row r="33" spans="1:12" x14ac:dyDescent="0.2">
      <c r="A33" s="249">
        <f>Investitionen!A33</f>
        <v>0</v>
      </c>
      <c r="B33" s="250">
        <f>Investitionen!B33</f>
        <v>0</v>
      </c>
      <c r="C33" s="250"/>
      <c r="D33" s="249">
        <f>Investitionen!C33</f>
        <v>0</v>
      </c>
      <c r="E33" s="194" t="str">
        <f>IF(Investitionen!D33="","",Investitionen!D33/Investitionen!$C33)</f>
        <v/>
      </c>
      <c r="F33" s="195" t="str">
        <f>IF(Investitionen!E33="","",Investitionen!E33/Investitionen!$C33)</f>
        <v/>
      </c>
      <c r="G33" s="195" t="str">
        <f>IF(Investitionen!F33="","",Investitionen!F33/Investitionen!$C33)</f>
        <v/>
      </c>
      <c r="H33" s="196" t="str">
        <f>IF(Investitionen!G33="","",Investitionen!G33/Investitionen!$C33)</f>
        <v/>
      </c>
      <c r="I33" s="195" t="str">
        <f>IF(Investitionen!H33="","",Investitionen!H33/Investitionen!$C33)</f>
        <v/>
      </c>
      <c r="J33" s="196" t="str">
        <f>IF(Investitionen!I33="","",Investitionen!I33/Investitionen!$C33)</f>
        <v/>
      </c>
      <c r="K33" s="5"/>
    </row>
    <row r="34" spans="1:12" x14ac:dyDescent="0.2">
      <c r="A34" s="249">
        <f>Investitionen!A34</f>
        <v>0</v>
      </c>
      <c r="B34" s="250">
        <f>Investitionen!B34</f>
        <v>0</v>
      </c>
      <c r="C34" s="250"/>
      <c r="D34" s="249">
        <f>Investitionen!C34</f>
        <v>0</v>
      </c>
      <c r="E34" s="194" t="str">
        <f>IF(Investitionen!D34="","",Investitionen!D34/Investitionen!$C34)</f>
        <v/>
      </c>
      <c r="F34" s="195" t="str">
        <f>IF(Investitionen!E34="","",Investitionen!E34/Investitionen!$C34)</f>
        <v/>
      </c>
      <c r="G34" s="195" t="str">
        <f>IF(Investitionen!F34="","",Investitionen!F34/Investitionen!$C34)</f>
        <v/>
      </c>
      <c r="H34" s="196" t="str">
        <f>IF(Investitionen!G34="","",Investitionen!G34/Investitionen!$C34)</f>
        <v/>
      </c>
      <c r="I34" s="195" t="str">
        <f>IF(Investitionen!H34="","",Investitionen!H34/Investitionen!$C34)</f>
        <v/>
      </c>
      <c r="J34" s="196" t="str">
        <f>IF(Investitionen!I34="","",Investitionen!I34/Investitionen!$C34)</f>
        <v/>
      </c>
      <c r="K34" s="5"/>
    </row>
    <row r="35" spans="1:12" x14ac:dyDescent="0.2">
      <c r="A35" s="249">
        <f>Investitionen!A35</f>
        <v>0</v>
      </c>
      <c r="B35" s="250">
        <f>Investitionen!B35</f>
        <v>0</v>
      </c>
      <c r="C35" s="250"/>
      <c r="D35" s="249">
        <f>Investitionen!C35</f>
        <v>0</v>
      </c>
      <c r="E35" s="194" t="str">
        <f>IF(Investitionen!D35="","",Investitionen!D35/Investitionen!$C35)</f>
        <v/>
      </c>
      <c r="F35" s="195" t="str">
        <f>IF(Investitionen!E35="","",Investitionen!E35/Investitionen!$C35)</f>
        <v/>
      </c>
      <c r="G35" s="195" t="str">
        <f>IF(Investitionen!F35="","",Investitionen!F35/Investitionen!$C35)</f>
        <v/>
      </c>
      <c r="H35" s="196" t="str">
        <f>IF(Investitionen!G35="","",Investitionen!G35/Investitionen!$C35)</f>
        <v/>
      </c>
      <c r="I35" s="195" t="str">
        <f>IF(Investitionen!H35="","",Investitionen!H35/Investitionen!$C35)</f>
        <v/>
      </c>
      <c r="J35" s="196" t="str">
        <f>IF(Investitionen!I35="","",Investitionen!I35/Investitionen!$C35)</f>
        <v/>
      </c>
      <c r="K35" s="5"/>
    </row>
    <row r="36" spans="1:12" x14ac:dyDescent="0.2">
      <c r="A36" s="249">
        <f>Investitionen!A36</f>
        <v>0</v>
      </c>
      <c r="B36" s="250">
        <f>Investitionen!B36</f>
        <v>0</v>
      </c>
      <c r="C36" s="250"/>
      <c r="D36" s="249">
        <f>Investitionen!C36</f>
        <v>0</v>
      </c>
      <c r="E36" s="194" t="str">
        <f>IF(Investitionen!D36="","",Investitionen!D36/Investitionen!$C36)</f>
        <v/>
      </c>
      <c r="F36" s="195" t="str">
        <f>IF(Investitionen!E36="","",Investitionen!E36/Investitionen!$C36)</f>
        <v/>
      </c>
      <c r="G36" s="195" t="str">
        <f>IF(Investitionen!F36="","",Investitionen!F36/Investitionen!$C36)</f>
        <v/>
      </c>
      <c r="H36" s="196" t="str">
        <f>IF(Investitionen!G36="","",Investitionen!G36/Investitionen!$C36)</f>
        <v/>
      </c>
      <c r="I36" s="195" t="str">
        <f>IF(Investitionen!H36="","",Investitionen!H36/Investitionen!$C36)</f>
        <v/>
      </c>
      <c r="J36" s="196" t="str">
        <f>IF(Investitionen!I36="","",Investitionen!I36/Investitionen!$C36)</f>
        <v/>
      </c>
      <c r="K36" s="5"/>
    </row>
    <row r="37" spans="1:12" x14ac:dyDescent="0.2">
      <c r="A37" s="249">
        <f>Investitionen!A37</f>
        <v>0</v>
      </c>
      <c r="B37" s="250">
        <f>Investitionen!B37</f>
        <v>0</v>
      </c>
      <c r="C37" s="250"/>
      <c r="D37" s="249">
        <f>Investitionen!C37</f>
        <v>0</v>
      </c>
      <c r="E37" s="194" t="str">
        <f>IF(Investitionen!D37="","",Investitionen!D37/Investitionen!$C37)</f>
        <v/>
      </c>
      <c r="F37" s="195" t="str">
        <f>IF(Investitionen!E37="","",Investitionen!E37/Investitionen!$C37)</f>
        <v/>
      </c>
      <c r="G37" s="195" t="str">
        <f>IF(Investitionen!F37="","",Investitionen!F37/Investitionen!$C37)</f>
        <v/>
      </c>
      <c r="H37" s="196" t="str">
        <f>IF(Investitionen!G37="","",Investitionen!G37/Investitionen!$C37)</f>
        <v/>
      </c>
      <c r="I37" s="195" t="str">
        <f>IF(Investitionen!H37="","",Investitionen!H37/Investitionen!$C37)</f>
        <v/>
      </c>
      <c r="J37" s="196" t="str">
        <f>IF(Investitionen!I37="","",Investitionen!I37/Investitionen!$C37)</f>
        <v/>
      </c>
      <c r="K37" s="5"/>
    </row>
    <row r="38" spans="1:12" x14ac:dyDescent="0.2">
      <c r="A38" s="19"/>
      <c r="B38" s="20"/>
      <c r="C38" s="141"/>
      <c r="D38" s="141"/>
      <c r="E38" s="233"/>
      <c r="F38" s="20"/>
      <c r="G38" s="20"/>
      <c r="H38" s="254"/>
      <c r="I38" s="20"/>
      <c r="J38" s="254"/>
      <c r="K38" s="5"/>
    </row>
    <row r="39" spans="1:12" x14ac:dyDescent="0.2">
      <c r="A39" s="26"/>
      <c r="B39" s="27"/>
      <c r="C39" s="255">
        <f t="shared" ref="C39:H39" si="1">E15-2</f>
        <v>2016</v>
      </c>
      <c r="D39" s="255">
        <f t="shared" si="1"/>
        <v>2017</v>
      </c>
      <c r="E39" s="28">
        <f t="shared" si="1"/>
        <v>2018</v>
      </c>
      <c r="F39" s="30">
        <f t="shared" si="1"/>
        <v>2019</v>
      </c>
      <c r="G39" s="30">
        <f t="shared" si="1"/>
        <v>2020</v>
      </c>
      <c r="H39" s="29">
        <f t="shared" si="1"/>
        <v>2021</v>
      </c>
      <c r="I39" s="30">
        <f>G15+2</f>
        <v>2022</v>
      </c>
      <c r="J39" s="29">
        <f>H15+2</f>
        <v>2023</v>
      </c>
      <c r="K39" s="5"/>
    </row>
    <row r="40" spans="1:12" x14ac:dyDescent="0.2">
      <c r="A40" s="248" t="s">
        <v>110</v>
      </c>
      <c r="B40" s="27"/>
      <c r="C40" s="141"/>
      <c r="D40" s="141"/>
      <c r="E40" s="23">
        <f t="shared" ref="E40:J40" si="2">SUM(E17:E37)</f>
        <v>25</v>
      </c>
      <c r="F40" s="22">
        <f t="shared" si="2"/>
        <v>5.5</v>
      </c>
      <c r="G40" s="22">
        <f t="shared" si="2"/>
        <v>6.5</v>
      </c>
      <c r="H40" s="21">
        <f t="shared" si="2"/>
        <v>3.5</v>
      </c>
      <c r="I40" s="22">
        <f t="shared" si="2"/>
        <v>1</v>
      </c>
      <c r="J40" s="21">
        <f t="shared" si="2"/>
        <v>1</v>
      </c>
      <c r="K40" s="5"/>
    </row>
    <row r="41" spans="1:12" x14ac:dyDescent="0.2">
      <c r="A41" s="248" t="s">
        <v>111</v>
      </c>
      <c r="B41" s="27"/>
      <c r="C41" s="256"/>
      <c r="D41" s="167"/>
      <c r="E41" s="258">
        <v>4</v>
      </c>
      <c r="F41" s="258">
        <v>4</v>
      </c>
      <c r="G41" s="258">
        <v>0</v>
      </c>
      <c r="H41" s="259">
        <v>39</v>
      </c>
      <c r="I41" s="258">
        <v>35</v>
      </c>
      <c r="J41" s="259">
        <v>2</v>
      </c>
      <c r="K41" s="5"/>
    </row>
    <row r="42" spans="1:12" x14ac:dyDescent="0.2">
      <c r="A42" s="248" t="s">
        <v>112</v>
      </c>
      <c r="B42" s="27"/>
      <c r="C42" s="167">
        <f>'Budgets LR'!C19</f>
        <v>40</v>
      </c>
      <c r="D42" s="167">
        <f>'Budgets LR'!C51</f>
        <v>42</v>
      </c>
      <c r="E42" s="113">
        <f t="shared" ref="E42:J42" si="3">D42-D43-D45+E40-E41</f>
        <v>63</v>
      </c>
      <c r="F42" s="113">
        <f t="shared" si="3"/>
        <v>64.5</v>
      </c>
      <c r="G42" s="113">
        <f t="shared" si="3"/>
        <v>71</v>
      </c>
      <c r="H42" s="119">
        <f t="shared" si="3"/>
        <v>35.5</v>
      </c>
      <c r="I42" s="113">
        <f t="shared" si="3"/>
        <v>1.5</v>
      </c>
      <c r="J42" s="119">
        <f t="shared" si="3"/>
        <v>0.5</v>
      </c>
      <c r="K42" s="95"/>
    </row>
    <row r="43" spans="1:12" x14ac:dyDescent="0.2">
      <c r="A43" s="248" t="s">
        <v>127</v>
      </c>
      <c r="B43" s="27"/>
      <c r="C43" s="167">
        <f>'Budgets LR'!C20</f>
        <v>0</v>
      </c>
      <c r="D43" s="167">
        <f>'Budgets LR'!C52</f>
        <v>0</v>
      </c>
      <c r="E43" s="260">
        <v>0</v>
      </c>
      <c r="F43" s="258">
        <v>0</v>
      </c>
      <c r="G43" s="258">
        <v>0</v>
      </c>
      <c r="H43" s="259">
        <v>0</v>
      </c>
      <c r="I43" s="260">
        <v>0</v>
      </c>
      <c r="J43" s="259">
        <v>0</v>
      </c>
      <c r="K43" s="5"/>
    </row>
    <row r="44" spans="1:12" x14ac:dyDescent="0.2">
      <c r="A44" s="248" t="s">
        <v>128</v>
      </c>
      <c r="B44" s="27"/>
      <c r="C44" s="167">
        <f>'Budgets LR'!C21</f>
        <v>0</v>
      </c>
      <c r="D44" s="167">
        <f>'Budgets LR'!C53</f>
        <v>0</v>
      </c>
      <c r="E44" s="118">
        <f>'Abschr. Bilanzfehlbetrag'!J46</f>
        <v>0</v>
      </c>
      <c r="F44" s="113">
        <f>'Abschr. Bilanzfehlbetrag'!J60</f>
        <v>0</v>
      </c>
      <c r="G44" s="113">
        <f>'Abschr. Bilanzfehlbetrag'!J74</f>
        <v>0</v>
      </c>
      <c r="H44" s="119">
        <f>'Abschr. Bilanzfehlbetrag'!J88</f>
        <v>5.2</v>
      </c>
      <c r="I44" s="118">
        <f>'Abschr. Bilanzfehlbetrag'!J102</f>
        <v>0</v>
      </c>
      <c r="J44" s="119">
        <f>'Abschr. Bilanzfehlbetrag'!J116</f>
        <v>0</v>
      </c>
      <c r="K44" s="5"/>
    </row>
    <row r="45" spans="1:12" x14ac:dyDescent="0.2">
      <c r="A45" s="248" t="s">
        <v>136</v>
      </c>
      <c r="B45" s="27"/>
      <c r="C45" s="167">
        <f>'Budgets LR'!C34</f>
        <v>0</v>
      </c>
      <c r="D45" s="261">
        <v>0</v>
      </c>
      <c r="E45" s="260">
        <v>0</v>
      </c>
      <c r="F45" s="258">
        <v>0</v>
      </c>
      <c r="G45" s="258">
        <v>0</v>
      </c>
      <c r="H45" s="259">
        <v>0</v>
      </c>
      <c r="I45" s="260">
        <v>0</v>
      </c>
      <c r="J45" s="259">
        <v>0</v>
      </c>
      <c r="K45" s="5"/>
    </row>
    <row r="46" spans="1:12" x14ac:dyDescent="0.2">
      <c r="A46" s="238" t="s">
        <v>135</v>
      </c>
      <c r="B46" s="32"/>
      <c r="C46" s="201">
        <f>'Budgets LR'!C33</f>
        <v>0</v>
      </c>
      <c r="D46" s="201">
        <f>Zusammenfassung!D36</f>
        <v>0</v>
      </c>
      <c r="E46" s="33">
        <f>Zusammenfassung!E36</f>
        <v>0</v>
      </c>
      <c r="F46" s="35">
        <f>Zusammenfassung!F36</f>
        <v>0</v>
      </c>
      <c r="G46" s="35">
        <f>Zusammenfassung!G36</f>
        <v>0</v>
      </c>
      <c r="H46" s="34">
        <f>Zusammenfassung!H36</f>
        <v>47</v>
      </c>
      <c r="I46" s="33">
        <f>Zusammenfassung!I36</f>
        <v>0</v>
      </c>
      <c r="J46" s="34">
        <f>Zusammenfassung!J36</f>
        <v>0</v>
      </c>
      <c r="K46" s="95"/>
    </row>
    <row r="47" spans="1:12" x14ac:dyDescent="0.2">
      <c r="C47" s="10"/>
      <c r="K47" s="5"/>
      <c r="L47" s="10"/>
    </row>
    <row r="48" spans="1:12" ht="15" x14ac:dyDescent="0.2">
      <c r="A48" s="257"/>
      <c r="B48" s="239"/>
      <c r="K48" s="5"/>
    </row>
    <row r="49" spans="1:11" ht="15" x14ac:dyDescent="0.2">
      <c r="A49" s="257"/>
      <c r="B49" s="239"/>
      <c r="K49" s="5"/>
    </row>
    <row r="50" spans="1:11" ht="15" x14ac:dyDescent="0.2">
      <c r="A50" s="257"/>
      <c r="B50" s="239"/>
      <c r="K50" s="5"/>
    </row>
    <row r="51" spans="1:11" x14ac:dyDescent="0.2">
      <c r="K51" s="5"/>
    </row>
    <row r="52" spans="1:11" x14ac:dyDescent="0.2">
      <c r="K52" s="5"/>
    </row>
    <row r="53" spans="1:11" x14ac:dyDescent="0.2">
      <c r="K53" s="5"/>
    </row>
  </sheetData>
  <sheetProtection password="CF85" sheet="1" objects="1" scenarios="1"/>
  <mergeCells count="11">
    <mergeCell ref="A2:B3"/>
    <mergeCell ref="F2:J3"/>
    <mergeCell ref="A5:B6"/>
    <mergeCell ref="F5:F6"/>
    <mergeCell ref="G5:G6"/>
    <mergeCell ref="H5:H6"/>
    <mergeCell ref="E14:H14"/>
    <mergeCell ref="I14:J14"/>
    <mergeCell ref="H11:J11"/>
    <mergeCell ref="A11:B11"/>
    <mergeCell ref="A14:B14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Footer>&amp;R&amp;D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abSelected="1" zoomScale="150" zoomScaleNormal="150" workbookViewId="0">
      <selection activeCell="E31" sqref="E31"/>
    </sheetView>
  </sheetViews>
  <sheetFormatPr baseColWidth="10" defaultRowHeight="11.25" x14ac:dyDescent="0.2"/>
  <cols>
    <col min="1" max="1" width="3.5" style="42" customWidth="1"/>
    <col min="2" max="2" width="31.25" style="5" customWidth="1"/>
    <col min="3" max="4" width="6.75" style="8" customWidth="1"/>
    <col min="5" max="7" width="6.75" style="8" bestFit="1" customWidth="1"/>
    <col min="8" max="8" width="6.75" style="8" customWidth="1"/>
    <col min="9" max="10" width="6.75" style="8" bestFit="1" customWidth="1"/>
    <col min="11" max="11" width="11" style="8"/>
    <col min="12" max="16384" width="11" style="5"/>
  </cols>
  <sheetData>
    <row r="1" spans="1:11" x14ac:dyDescent="0.2">
      <c r="A1" s="1"/>
      <c r="B1" s="2"/>
      <c r="C1" s="3"/>
      <c r="D1" s="2"/>
      <c r="E1" s="91"/>
      <c r="F1" s="2"/>
      <c r="G1" s="3"/>
      <c r="H1" s="2"/>
      <c r="I1" s="2"/>
      <c r="J1" s="111"/>
      <c r="K1" s="5"/>
    </row>
    <row r="2" spans="1:11" ht="14.25" customHeight="1" x14ac:dyDescent="0.2">
      <c r="A2" s="354" t="str">
        <f>Ausgangsdaten!A2</f>
        <v xml:space="preserve">Korporation </v>
      </c>
      <c r="B2" s="355"/>
      <c r="C2" s="372" t="str">
        <f>Ausgangsdaten!C2</f>
        <v>Muster</v>
      </c>
      <c r="D2" s="372"/>
      <c r="E2" s="372"/>
      <c r="F2" s="372"/>
      <c r="G2" s="372"/>
      <c r="H2" s="372"/>
      <c r="I2" s="372"/>
      <c r="J2" s="373"/>
      <c r="K2" s="5"/>
    </row>
    <row r="3" spans="1:11" ht="11.25" customHeight="1" x14ac:dyDescent="0.2">
      <c r="A3" s="354"/>
      <c r="B3" s="355"/>
      <c r="C3" s="372"/>
      <c r="D3" s="372"/>
      <c r="E3" s="372"/>
      <c r="F3" s="372"/>
      <c r="G3" s="372"/>
      <c r="H3" s="372"/>
      <c r="I3" s="372"/>
      <c r="J3" s="373"/>
      <c r="K3" s="5"/>
    </row>
    <row r="4" spans="1:11" ht="11.25" customHeight="1" x14ac:dyDescent="0.25">
      <c r="A4" s="112"/>
      <c r="B4" s="6"/>
      <c r="C4" s="6"/>
      <c r="D4" s="6"/>
      <c r="E4" s="6"/>
      <c r="F4" s="6"/>
      <c r="G4" s="6"/>
      <c r="H4" s="10"/>
      <c r="I4" s="10"/>
      <c r="J4" s="73"/>
      <c r="K4" s="5"/>
    </row>
    <row r="5" spans="1:11" ht="11.25" customHeight="1" x14ac:dyDescent="0.25">
      <c r="A5" s="374" t="str">
        <f>Ausgangsdaten!A4</f>
        <v>Finanzplan</v>
      </c>
      <c r="B5" s="375"/>
      <c r="C5" s="362">
        <f>Ausgangsdaten!C4</f>
        <v>2017</v>
      </c>
      <c r="D5" s="363" t="s">
        <v>62</v>
      </c>
      <c r="E5" s="362">
        <f>Ausgangsdaten!E4</f>
        <v>2021</v>
      </c>
      <c r="F5" s="6"/>
      <c r="G5" s="6"/>
      <c r="H5" s="10"/>
      <c r="I5" s="10"/>
      <c r="J5" s="73"/>
      <c r="K5" s="5"/>
    </row>
    <row r="6" spans="1:11" ht="11.25" customHeight="1" x14ac:dyDescent="0.25">
      <c r="A6" s="374"/>
      <c r="B6" s="375"/>
      <c r="C6" s="363"/>
      <c r="D6" s="363"/>
      <c r="E6" s="363"/>
      <c r="F6" s="6"/>
      <c r="G6" s="6"/>
      <c r="H6" s="10"/>
      <c r="I6" s="10"/>
      <c r="J6" s="73"/>
      <c r="K6" s="5"/>
    </row>
    <row r="7" spans="1:11" x14ac:dyDescent="0.2">
      <c r="A7" s="15"/>
      <c r="B7" s="16"/>
      <c r="C7" s="17"/>
      <c r="D7" s="17"/>
      <c r="E7" s="17"/>
      <c r="F7" s="17"/>
      <c r="G7" s="17"/>
      <c r="H7" s="17"/>
      <c r="I7" s="17"/>
      <c r="J7" s="18"/>
    </row>
    <row r="9" spans="1:11" x14ac:dyDescent="0.2">
      <c r="A9" s="19"/>
      <c r="B9" s="20"/>
      <c r="C9" s="22"/>
      <c r="D9" s="22"/>
      <c r="E9" s="22"/>
      <c r="F9" s="22"/>
      <c r="G9" s="22"/>
      <c r="H9" s="22"/>
      <c r="I9" s="22"/>
      <c r="J9" s="21"/>
    </row>
    <row r="10" spans="1:11" ht="11.25" customHeight="1" x14ac:dyDescent="0.2">
      <c r="A10" s="348" t="s">
        <v>59</v>
      </c>
      <c r="B10" s="349"/>
      <c r="C10" s="349"/>
      <c r="D10" s="349"/>
      <c r="E10" s="262"/>
      <c r="F10" s="262"/>
      <c r="G10" s="262"/>
      <c r="H10" s="352" t="s">
        <v>85</v>
      </c>
      <c r="I10" s="352"/>
      <c r="J10" s="353"/>
    </row>
    <row r="11" spans="1:11" x14ac:dyDescent="0.2">
      <c r="A11" s="31"/>
      <c r="B11" s="32"/>
      <c r="C11" s="35"/>
      <c r="D11" s="35"/>
      <c r="E11" s="35"/>
      <c r="F11" s="35"/>
      <c r="G11" s="35"/>
      <c r="H11" s="35"/>
      <c r="I11" s="35"/>
      <c r="J11" s="34"/>
    </row>
    <row r="12" spans="1:11" x14ac:dyDescent="0.2">
      <c r="A12" s="19"/>
      <c r="B12" s="20"/>
      <c r="C12" s="23"/>
      <c r="D12" s="21"/>
      <c r="E12" s="23"/>
      <c r="F12" s="22"/>
      <c r="G12" s="22"/>
      <c r="H12" s="21"/>
      <c r="I12" s="22"/>
      <c r="J12" s="21"/>
    </row>
    <row r="13" spans="1:11" s="25" customFormat="1" x14ac:dyDescent="0.2">
      <c r="A13" s="348" t="s">
        <v>15</v>
      </c>
      <c r="B13" s="349"/>
      <c r="C13" s="263" t="str">
        <f>'Budgets LR'!C9</f>
        <v>Rechnung</v>
      </c>
      <c r="D13" s="264" t="s">
        <v>0</v>
      </c>
      <c r="E13" s="371" t="s">
        <v>26</v>
      </c>
      <c r="F13" s="358"/>
      <c r="G13" s="358"/>
      <c r="H13" s="359"/>
      <c r="I13" s="371" t="s">
        <v>66</v>
      </c>
      <c r="J13" s="359"/>
      <c r="K13" s="115"/>
    </row>
    <row r="14" spans="1:11" x14ac:dyDescent="0.2">
      <c r="A14" s="26"/>
      <c r="B14" s="27"/>
      <c r="C14" s="236">
        <f>SUM(Ausgangsdaten!C11)</f>
        <v>2016</v>
      </c>
      <c r="D14" s="265">
        <f>SUM(Ausgangsdaten!C12)</f>
        <v>2017</v>
      </c>
      <c r="E14" s="28">
        <f>SUM(Ausgangsdaten!C13)</f>
        <v>2018</v>
      </c>
      <c r="F14" s="30">
        <f>SUM(E14+1)</f>
        <v>2019</v>
      </c>
      <c r="G14" s="30">
        <f>SUM(F14+1)</f>
        <v>2020</v>
      </c>
      <c r="H14" s="29">
        <f>SUM(G14+1)</f>
        <v>2021</v>
      </c>
      <c r="I14" s="30">
        <f>SUM(H14+1)</f>
        <v>2022</v>
      </c>
      <c r="J14" s="29">
        <f>SUM(I14+1)</f>
        <v>2023</v>
      </c>
    </row>
    <row r="15" spans="1:11" x14ac:dyDescent="0.2">
      <c r="A15" s="31"/>
      <c r="B15" s="32"/>
      <c r="C15" s="33"/>
      <c r="D15" s="34"/>
      <c r="E15" s="33"/>
      <c r="F15" s="35"/>
      <c r="G15" s="35"/>
      <c r="H15" s="34"/>
      <c r="I15" s="35"/>
      <c r="J15" s="34"/>
    </row>
    <row r="16" spans="1:11" ht="4.5" customHeight="1" x14ac:dyDescent="0.2">
      <c r="A16" s="1"/>
      <c r="B16" s="111"/>
      <c r="C16" s="266"/>
      <c r="D16" s="267"/>
      <c r="E16" s="268"/>
      <c r="F16" s="266"/>
      <c r="G16" s="266"/>
      <c r="H16" s="267"/>
      <c r="I16" s="268"/>
      <c r="J16" s="4"/>
    </row>
    <row r="17" spans="1:11" x14ac:dyDescent="0.2">
      <c r="A17" s="75" t="s">
        <v>103</v>
      </c>
      <c r="B17" s="78"/>
      <c r="C17" s="269"/>
      <c r="D17" s="269"/>
      <c r="E17" s="270"/>
      <c r="F17" s="271"/>
      <c r="G17" s="271"/>
      <c r="H17" s="272"/>
      <c r="I17" s="270"/>
      <c r="J17" s="18"/>
    </row>
    <row r="18" spans="1:11" x14ac:dyDescent="0.2">
      <c r="A18" s="36" t="s">
        <v>104</v>
      </c>
      <c r="B18" s="73"/>
      <c r="C18" s="117">
        <f>'Weiterführung LR'!C53-'Weiterführung LR'!C49</f>
        <v>951</v>
      </c>
      <c r="D18" s="117">
        <f>'Weiterführung LR'!D53-'Weiterführung LR'!D49</f>
        <v>1040</v>
      </c>
      <c r="E18" s="79">
        <f>'Weiterführung LR'!E53-'Weiterführung LR'!E49</f>
        <v>964.41</v>
      </c>
      <c r="F18" s="117">
        <f>'Weiterführung LR'!F53-'Weiterführung LR'!F49</f>
        <v>968.86559999999997</v>
      </c>
      <c r="G18" s="117">
        <f>'Weiterführung LR'!G53-'Weiterführung LR'!G49</f>
        <v>973.26425600000005</v>
      </c>
      <c r="H18" s="273">
        <f>'Weiterführung LR'!H53-'Weiterführung LR'!H49</f>
        <v>977.81095128499999</v>
      </c>
      <c r="I18" s="79">
        <f>'Weiterführung LR'!I53-'Weiterführung LR'!I49</f>
        <v>982.29906079785007</v>
      </c>
      <c r="J18" s="13">
        <f>'Weiterführung LR'!J53-'Weiterführung LR'!J49</f>
        <v>986.93872105686228</v>
      </c>
    </row>
    <row r="19" spans="1:11" x14ac:dyDescent="0.2">
      <c r="A19" s="36" t="s">
        <v>105</v>
      </c>
      <c r="B19" s="73"/>
      <c r="C19" s="117">
        <f>'Weiterführung LR'!C30-'Weiterführung LR'!C26</f>
        <v>882</v>
      </c>
      <c r="D19" s="117">
        <f>'Weiterführung LR'!D30-'Weiterführung LR'!D26</f>
        <v>968</v>
      </c>
      <c r="E19" s="79">
        <f>'Weiterführung LR'!E30-'Weiterführung LR'!E26</f>
        <v>974.2700000000001</v>
      </c>
      <c r="F19" s="117">
        <f>'Weiterführung LR'!F30-'Weiterführung LR'!F26</f>
        <v>985.81984999999997</v>
      </c>
      <c r="G19" s="117">
        <f>'Weiterführung LR'!G30-'Weiterführung LR'!G26</f>
        <v>992.105816</v>
      </c>
      <c r="H19" s="273">
        <f>'Weiterführung LR'!H30-'Weiterführung LR'!H26</f>
        <v>1004.90937582</v>
      </c>
      <c r="I19" s="79">
        <f>'Weiterführung LR'!I30-'Weiterführung LR'!I26</f>
        <v>1014.5484695782</v>
      </c>
      <c r="J19" s="13">
        <f>'Weiterführung LR'!J30-'Weiterführung LR'!J26</f>
        <v>1027.6592623507311</v>
      </c>
    </row>
    <row r="20" spans="1:11" ht="4.5" customHeight="1" x14ac:dyDescent="0.2">
      <c r="A20" s="1"/>
      <c r="B20" s="111"/>
      <c r="C20" s="266"/>
      <c r="D20" s="267"/>
      <c r="E20" s="268"/>
      <c r="F20" s="266"/>
      <c r="G20" s="266"/>
      <c r="H20" s="267"/>
      <c r="I20" s="268"/>
      <c r="J20" s="4"/>
    </row>
    <row r="21" spans="1:11" x14ac:dyDescent="0.2">
      <c r="A21" s="75" t="s">
        <v>83</v>
      </c>
      <c r="B21" s="78"/>
      <c r="C21" s="274">
        <f>C18-C19</f>
        <v>69</v>
      </c>
      <c r="D21" s="275">
        <f>D18-D19</f>
        <v>72</v>
      </c>
      <c r="E21" s="274">
        <f t="shared" ref="E21:J21" si="0">E18-E19</f>
        <v>-9.8600000000001273</v>
      </c>
      <c r="F21" s="274">
        <f t="shared" si="0"/>
        <v>-16.954250000000002</v>
      </c>
      <c r="G21" s="274">
        <f t="shared" si="0"/>
        <v>-18.841559999999959</v>
      </c>
      <c r="H21" s="275">
        <f t="shared" si="0"/>
        <v>-27.098424535000049</v>
      </c>
      <c r="I21" s="274">
        <f t="shared" si="0"/>
        <v>-32.249408780349881</v>
      </c>
      <c r="J21" s="275">
        <f t="shared" si="0"/>
        <v>-40.720541293868791</v>
      </c>
    </row>
    <row r="22" spans="1:11" ht="4.5" customHeight="1" x14ac:dyDescent="0.2">
      <c r="A22" s="1"/>
      <c r="B22" s="111"/>
      <c r="C22" s="117"/>
      <c r="D22" s="273"/>
      <c r="E22" s="79"/>
      <c r="F22" s="117"/>
      <c r="G22" s="117"/>
      <c r="H22" s="273"/>
      <c r="I22" s="79"/>
      <c r="J22" s="13"/>
    </row>
    <row r="23" spans="1:11" x14ac:dyDescent="0.2">
      <c r="A23" s="57" t="s">
        <v>106</v>
      </c>
      <c r="B23" s="100"/>
      <c r="C23" s="276"/>
      <c r="D23" s="276"/>
      <c r="E23" s="79"/>
      <c r="F23" s="117"/>
      <c r="G23" s="117"/>
      <c r="H23" s="273"/>
      <c r="I23" s="79"/>
      <c r="J23" s="13"/>
    </row>
    <row r="24" spans="1:11" x14ac:dyDescent="0.2">
      <c r="A24" s="36" t="s">
        <v>107</v>
      </c>
      <c r="B24" s="73"/>
      <c r="C24" s="276"/>
      <c r="D24" s="276"/>
      <c r="E24" s="79">
        <f>'Änderungen LR'!C39</f>
        <v>11</v>
      </c>
      <c r="F24" s="117">
        <f>'Änderungen LR'!D39</f>
        <v>-38</v>
      </c>
      <c r="G24" s="117">
        <f>'Änderungen LR'!E39</f>
        <v>-70</v>
      </c>
      <c r="H24" s="273">
        <f>'Änderungen LR'!F39</f>
        <v>-70</v>
      </c>
      <c r="I24" s="79">
        <f>'Änderungen LR'!G39</f>
        <v>-70</v>
      </c>
      <c r="J24" s="13">
        <f>'Änderungen LR'!H39</f>
        <v>-70</v>
      </c>
    </row>
    <row r="25" spans="1:11" x14ac:dyDescent="0.2">
      <c r="A25" s="15" t="s">
        <v>108</v>
      </c>
      <c r="B25" s="78"/>
      <c r="C25" s="276"/>
      <c r="D25" s="117"/>
      <c r="E25" s="270">
        <f>Zinsänderung!D82</f>
        <v>44</v>
      </c>
      <c r="F25" s="271">
        <f>Zinsänderung!E83</f>
        <v>112</v>
      </c>
      <c r="G25" s="271">
        <f>Zinsänderung!F83</f>
        <v>196</v>
      </c>
      <c r="H25" s="272">
        <f>Zinsänderung!G83</f>
        <v>18</v>
      </c>
      <c r="I25" s="271">
        <f>Zinsänderung!H83</f>
        <v>-91</v>
      </c>
      <c r="J25" s="272">
        <f>Zinsänderung!I83</f>
        <v>-91</v>
      </c>
      <c r="K25" s="117"/>
    </row>
    <row r="26" spans="1:11" ht="4.5" customHeight="1" x14ac:dyDescent="0.2">
      <c r="A26" s="1"/>
      <c r="B26" s="111"/>
      <c r="C26" s="266"/>
      <c r="D26" s="267"/>
      <c r="E26" s="268"/>
      <c r="F26" s="266"/>
      <c r="G26" s="266"/>
      <c r="H26" s="267"/>
      <c r="I26" s="268"/>
      <c r="J26" s="4"/>
    </row>
    <row r="27" spans="1:11" x14ac:dyDescent="0.2">
      <c r="A27" s="75" t="s">
        <v>84</v>
      </c>
      <c r="B27" s="78"/>
      <c r="C27" s="277">
        <f t="shared" ref="C27:D27" si="1">C21-C24-C25</f>
        <v>69</v>
      </c>
      <c r="D27" s="275">
        <f t="shared" si="1"/>
        <v>72</v>
      </c>
      <c r="E27" s="278">
        <f>E21-E24-E25</f>
        <v>-64.860000000000127</v>
      </c>
      <c r="F27" s="279">
        <f t="shared" ref="F27:J27" si="2">F21-F24-F25</f>
        <v>-90.954250000000002</v>
      </c>
      <c r="G27" s="279">
        <f t="shared" si="2"/>
        <v>-144.84155999999996</v>
      </c>
      <c r="H27" s="280">
        <f t="shared" si="2"/>
        <v>24.901575464999951</v>
      </c>
      <c r="I27" s="278">
        <f t="shared" si="2"/>
        <v>128.75059121965012</v>
      </c>
      <c r="J27" s="280">
        <f t="shared" si="2"/>
        <v>120.27945870613121</v>
      </c>
    </row>
    <row r="28" spans="1:11" ht="4.5" customHeight="1" x14ac:dyDescent="0.2">
      <c r="A28" s="1"/>
      <c r="B28" s="111"/>
      <c r="C28" s="268"/>
      <c r="D28" s="267"/>
      <c r="E28" s="268"/>
      <c r="F28" s="266"/>
      <c r="G28" s="266"/>
      <c r="H28" s="267"/>
      <c r="I28" s="268"/>
      <c r="J28" s="4"/>
    </row>
    <row r="29" spans="1:11" x14ac:dyDescent="0.2">
      <c r="A29" s="36" t="s">
        <v>86</v>
      </c>
      <c r="B29" s="73"/>
      <c r="C29" s="79">
        <f>'Budgets LR'!C19</f>
        <v>40</v>
      </c>
      <c r="D29" s="273">
        <f>Abschreibungen!D42</f>
        <v>42</v>
      </c>
      <c r="E29" s="79">
        <f>Abschreibungen!E42</f>
        <v>63</v>
      </c>
      <c r="F29" s="117">
        <f>Abschreibungen!F42</f>
        <v>64.5</v>
      </c>
      <c r="G29" s="117">
        <f>Abschreibungen!G42</f>
        <v>71</v>
      </c>
      <c r="H29" s="117">
        <f>Abschreibungen!H42</f>
        <v>35.5</v>
      </c>
      <c r="I29" s="79">
        <f>Abschreibungen!I42</f>
        <v>1.5</v>
      </c>
      <c r="J29" s="273">
        <f>Abschreibungen!J42</f>
        <v>0.5</v>
      </c>
    </row>
    <row r="30" spans="1:11" x14ac:dyDescent="0.2">
      <c r="A30" s="36" t="s">
        <v>87</v>
      </c>
      <c r="B30" s="73"/>
      <c r="C30" s="79">
        <f>'Budgets LR'!C21</f>
        <v>0</v>
      </c>
      <c r="D30" s="273">
        <f>Abschreibungen!D44</f>
        <v>0</v>
      </c>
      <c r="E30" s="79">
        <f>Abschreibungen!E44</f>
        <v>0</v>
      </c>
      <c r="F30" s="117">
        <f>Abschreibungen!F44</f>
        <v>0</v>
      </c>
      <c r="G30" s="117">
        <f>Abschreibungen!G44</f>
        <v>0</v>
      </c>
      <c r="H30" s="273">
        <f>Abschreibungen!H44</f>
        <v>5.2</v>
      </c>
      <c r="I30" s="79">
        <f>Abschreibungen!I44</f>
        <v>0</v>
      </c>
      <c r="J30" s="273">
        <f>Abschreibungen!J44</f>
        <v>0</v>
      </c>
    </row>
    <row r="31" spans="1:11" x14ac:dyDescent="0.2">
      <c r="A31" s="36" t="s">
        <v>164</v>
      </c>
      <c r="B31" s="73"/>
      <c r="C31" s="79">
        <f>'Budgets LR'!C26</f>
        <v>0</v>
      </c>
      <c r="D31" s="273">
        <f>'Budgets LR'!C58</f>
        <v>0</v>
      </c>
      <c r="E31" s="258">
        <v>0</v>
      </c>
      <c r="F31" s="258">
        <v>0</v>
      </c>
      <c r="G31" s="258">
        <v>0</v>
      </c>
      <c r="H31" s="258">
        <v>0</v>
      </c>
      <c r="I31" s="260">
        <v>0</v>
      </c>
      <c r="J31" s="259">
        <v>0</v>
      </c>
    </row>
    <row r="32" spans="1:11" x14ac:dyDescent="0.2">
      <c r="A32" s="15" t="s">
        <v>165</v>
      </c>
      <c r="B32" s="78"/>
      <c r="C32" s="270">
        <f>'Budgets LR'!G22</f>
        <v>0</v>
      </c>
      <c r="D32" s="272">
        <f>'Budgets LR'!G54</f>
        <v>0</v>
      </c>
      <c r="E32" s="293">
        <v>0</v>
      </c>
      <c r="F32" s="293">
        <v>0</v>
      </c>
      <c r="G32" s="293">
        <v>0</v>
      </c>
      <c r="H32" s="293">
        <v>0</v>
      </c>
      <c r="I32" s="294">
        <v>0</v>
      </c>
      <c r="J32" s="295">
        <v>0</v>
      </c>
    </row>
    <row r="33" spans="1:15" ht="4.5" customHeight="1" x14ac:dyDescent="0.2">
      <c r="A33" s="1"/>
      <c r="B33" s="111"/>
      <c r="C33" s="266"/>
      <c r="D33" s="267"/>
      <c r="E33" s="79"/>
      <c r="F33" s="117"/>
      <c r="G33" s="117"/>
      <c r="H33" s="273"/>
      <c r="I33" s="79"/>
      <c r="J33" s="13"/>
    </row>
    <row r="34" spans="1:15" x14ac:dyDescent="0.2">
      <c r="A34" s="75" t="s">
        <v>162</v>
      </c>
      <c r="B34" s="78"/>
      <c r="C34" s="277">
        <f>C27-C29-C30-C31-C32</f>
        <v>29</v>
      </c>
      <c r="D34" s="275">
        <f t="shared" ref="D34:J34" si="3">D27-D29-D30-D31+D32</f>
        <v>30</v>
      </c>
      <c r="E34" s="277">
        <f t="shared" si="3"/>
        <v>-127.86000000000013</v>
      </c>
      <c r="F34" s="274">
        <f t="shared" si="3"/>
        <v>-155.45425</v>
      </c>
      <c r="G34" s="274">
        <f t="shared" si="3"/>
        <v>-215.84155999999996</v>
      </c>
      <c r="H34" s="275">
        <f t="shared" si="3"/>
        <v>-15.798424535000049</v>
      </c>
      <c r="I34" s="277">
        <f t="shared" si="3"/>
        <v>127.25059121965012</v>
      </c>
      <c r="J34" s="275">
        <f t="shared" si="3"/>
        <v>119.77945870613121</v>
      </c>
      <c r="K34" s="125"/>
    </row>
    <row r="35" spans="1:15" ht="5.25" customHeight="1" x14ac:dyDescent="0.2">
      <c r="A35" s="36"/>
      <c r="B35" s="73"/>
      <c r="C35" s="268"/>
      <c r="D35" s="267"/>
      <c r="E35" s="268"/>
      <c r="F35" s="266"/>
      <c r="G35" s="266"/>
      <c r="H35" s="267"/>
      <c r="I35" s="268"/>
      <c r="J35" s="267"/>
    </row>
    <row r="36" spans="1:15" s="10" customFormat="1" ht="15" x14ac:dyDescent="0.2">
      <c r="A36" s="36" t="s">
        <v>88</v>
      </c>
      <c r="B36" s="73"/>
      <c r="C36" s="79">
        <f>'Budgets LR'!C33</f>
        <v>0</v>
      </c>
      <c r="D36" s="259">
        <v>0</v>
      </c>
      <c r="E36" s="258">
        <v>0</v>
      </c>
      <c r="F36" s="258">
        <v>0</v>
      </c>
      <c r="G36" s="258">
        <v>0</v>
      </c>
      <c r="H36" s="259">
        <v>47</v>
      </c>
      <c r="I36" s="258">
        <v>0</v>
      </c>
      <c r="J36" s="259">
        <v>0</v>
      </c>
      <c r="K36" s="337"/>
    </row>
    <row r="37" spans="1:15" ht="15" x14ac:dyDescent="0.2">
      <c r="A37" s="36" t="s">
        <v>109</v>
      </c>
      <c r="B37" s="73"/>
      <c r="C37" s="79">
        <f>'Budgets LR'!C20+'Budgets LR'!C34</f>
        <v>0</v>
      </c>
      <c r="D37" s="273">
        <f>Abschreibungen!D43+Abschreibungen!D45</f>
        <v>0</v>
      </c>
      <c r="E37" s="79">
        <f>Abschreibungen!E43</f>
        <v>0</v>
      </c>
      <c r="F37" s="117">
        <f>Abschreibungen!F43</f>
        <v>0</v>
      </c>
      <c r="G37" s="117">
        <f>Abschreibungen!G43</f>
        <v>0</v>
      </c>
      <c r="H37" s="273">
        <f>Abschreibungen!H43</f>
        <v>0</v>
      </c>
      <c r="I37" s="79">
        <f>Abschreibungen!I43</f>
        <v>0</v>
      </c>
      <c r="J37" s="273">
        <f>Abschreibungen!J43</f>
        <v>0</v>
      </c>
      <c r="K37" s="337"/>
    </row>
    <row r="38" spans="1:15" s="10" customFormat="1" ht="15" x14ac:dyDescent="0.2">
      <c r="A38" s="36" t="s">
        <v>76</v>
      </c>
      <c r="B38" s="73"/>
      <c r="C38" s="79">
        <f>'Budgets LR'!G34</f>
        <v>0</v>
      </c>
      <c r="D38" s="259"/>
      <c r="E38" s="260"/>
      <c r="F38" s="258"/>
      <c r="G38" s="258">
        <v>52</v>
      </c>
      <c r="H38" s="259"/>
      <c r="I38" s="260"/>
      <c r="J38" s="259"/>
      <c r="K38" s="337"/>
    </row>
    <row r="39" spans="1:15" s="10" customFormat="1" ht="15" x14ac:dyDescent="0.2">
      <c r="A39" s="36" t="s">
        <v>163</v>
      </c>
      <c r="B39" s="73"/>
      <c r="C39" s="79">
        <f>'Budgets LR'!G33</f>
        <v>0</v>
      </c>
      <c r="D39" s="259"/>
      <c r="E39" s="260">
        <v>128</v>
      </c>
      <c r="F39" s="258">
        <v>109</v>
      </c>
      <c r="G39" s="258">
        <v>52</v>
      </c>
      <c r="H39" s="259"/>
      <c r="I39" s="260"/>
      <c r="J39" s="259"/>
      <c r="K39" s="337"/>
      <c r="L39" s="338"/>
      <c r="M39" s="338"/>
    </row>
    <row r="40" spans="1:15" s="10" customFormat="1" ht="15" x14ac:dyDescent="0.2">
      <c r="A40" s="36" t="s">
        <v>75</v>
      </c>
      <c r="B40" s="73"/>
      <c r="C40" s="79">
        <f>'Budgets LR'!C35</f>
        <v>29</v>
      </c>
      <c r="D40" s="259">
        <v>30</v>
      </c>
      <c r="E40" s="260"/>
      <c r="F40" s="258"/>
      <c r="G40" s="258"/>
      <c r="H40" s="259">
        <v>112</v>
      </c>
      <c r="I40" s="260">
        <v>145</v>
      </c>
      <c r="J40" s="259">
        <v>29</v>
      </c>
      <c r="K40" s="337"/>
      <c r="L40" s="337"/>
    </row>
    <row r="41" spans="1:15" ht="5.25" customHeight="1" x14ac:dyDescent="0.2">
      <c r="A41" s="15"/>
      <c r="B41" s="78"/>
      <c r="C41" s="281"/>
      <c r="D41" s="282"/>
      <c r="E41" s="281"/>
      <c r="F41" s="283"/>
      <c r="G41" s="283"/>
      <c r="H41" s="282"/>
      <c r="I41" s="281"/>
      <c r="J41" s="282"/>
    </row>
    <row r="42" spans="1:15" ht="5.25" customHeight="1" x14ac:dyDescent="0.2">
      <c r="A42" s="36"/>
      <c r="B42" s="73"/>
      <c r="C42" s="284"/>
      <c r="D42" s="285"/>
      <c r="E42" s="286"/>
      <c r="F42" s="287"/>
      <c r="G42" s="287"/>
      <c r="H42" s="288"/>
      <c r="I42" s="289"/>
      <c r="J42" s="285"/>
      <c r="L42" s="10"/>
    </row>
    <row r="43" spans="1:15" s="290" customFormat="1" ht="24" customHeight="1" x14ac:dyDescent="0.2">
      <c r="A43" s="411" t="s">
        <v>169</v>
      </c>
      <c r="B43" s="412"/>
      <c r="C43" s="279">
        <f>Ausgangsdaten!J54-Ausgangsdaten!C50+Zusammenfassung!C40-Zusammenfassung!C39-Zusammenfassung!C38-Zusammenfassung!C36-Zusammenfassung!C37</f>
        <v>259</v>
      </c>
      <c r="D43" s="280">
        <f>C43+D40-D39-D38</f>
        <v>289</v>
      </c>
      <c r="E43" s="279">
        <f t="shared" ref="E43:J43" si="4">D43+E40-E39-E38</f>
        <v>161</v>
      </c>
      <c r="F43" s="279">
        <f t="shared" si="4"/>
        <v>52</v>
      </c>
      <c r="G43" s="279">
        <f t="shared" si="4"/>
        <v>-52</v>
      </c>
      <c r="H43" s="280">
        <f t="shared" si="4"/>
        <v>60</v>
      </c>
      <c r="I43" s="279">
        <f t="shared" si="4"/>
        <v>205</v>
      </c>
      <c r="J43" s="280">
        <f t="shared" si="4"/>
        <v>234</v>
      </c>
      <c r="K43" s="337"/>
    </row>
    <row r="44" spans="1:15" ht="5.25" customHeight="1" x14ac:dyDescent="0.2">
      <c r="A44" s="15"/>
      <c r="B44" s="78"/>
      <c r="C44" s="270"/>
      <c r="D44" s="272"/>
      <c r="E44" s="270"/>
      <c r="F44" s="271"/>
      <c r="G44" s="271"/>
      <c r="H44" s="272"/>
      <c r="I44" s="271"/>
      <c r="J44" s="272"/>
    </row>
    <row r="45" spans="1:15" ht="3.75" customHeight="1" x14ac:dyDescent="0.2">
      <c r="A45" s="1"/>
      <c r="B45" s="111"/>
      <c r="C45" s="268"/>
      <c r="D45" s="267"/>
      <c r="E45" s="268"/>
      <c r="F45" s="266"/>
      <c r="G45" s="266"/>
      <c r="H45" s="267"/>
      <c r="I45" s="266"/>
      <c r="J45" s="4"/>
    </row>
    <row r="46" spans="1:15" ht="10.5" customHeight="1" x14ac:dyDescent="0.2">
      <c r="A46" s="15" t="s">
        <v>120</v>
      </c>
      <c r="B46" s="78"/>
      <c r="C46" s="294"/>
      <c r="D46" s="272">
        <f>SUM(Zinsänderung!D63:D73)-SUM(Zinsänderung!D48:D58)</f>
        <v>0</v>
      </c>
      <c r="E46" s="271">
        <f>SUM(Zinsänderung!E63:E73)-SUM(Zinsänderung!E48:E58)</f>
        <v>0</v>
      </c>
      <c r="F46" s="271">
        <f>SUM(Zinsänderung!F63:F73)-SUM(Zinsänderung!F48:F58)</f>
        <v>0</v>
      </c>
      <c r="G46" s="271">
        <f>SUM(Zinsänderung!G63:G73)-SUM(Zinsänderung!G48:G58)</f>
        <v>4500</v>
      </c>
      <c r="H46" s="272">
        <f>SUM(Zinsänderung!H63:H73)-SUM(Zinsänderung!H48:H58)</f>
        <v>700</v>
      </c>
      <c r="I46" s="271">
        <f>SUM(Zinsänderung!I63:I73)-SUM(Zinsänderung!I48:I58)</f>
        <v>0</v>
      </c>
      <c r="J46" s="272">
        <f>SUM(Zinsänderung!J63:J73)-SUM(Zinsänderung!J48:J58)</f>
        <v>0</v>
      </c>
    </row>
    <row r="47" spans="1:15" x14ac:dyDescent="0.2">
      <c r="A47" s="36" t="s">
        <v>94</v>
      </c>
      <c r="B47" s="73"/>
      <c r="C47" s="79">
        <f>Ausgangsdaten!J63</f>
        <v>800</v>
      </c>
      <c r="D47" s="273">
        <f>Investitionen!D39</f>
        <v>530</v>
      </c>
      <c r="E47" s="79">
        <f>Investitionen!E39</f>
        <v>200</v>
      </c>
      <c r="F47" s="117">
        <f>Investitionen!F39</f>
        <v>210</v>
      </c>
      <c r="G47" s="117">
        <f>Investitionen!G39</f>
        <v>60</v>
      </c>
      <c r="H47" s="273">
        <f>Investitionen!H39</f>
        <v>10</v>
      </c>
      <c r="I47" s="117">
        <f>Investitionen!I40</f>
        <v>10</v>
      </c>
      <c r="J47" s="273">
        <f>Investitionen!J40</f>
        <v>10</v>
      </c>
      <c r="K47" s="291"/>
      <c r="M47" s="292"/>
      <c r="O47" s="95"/>
    </row>
    <row r="48" spans="1:15" x14ac:dyDescent="0.2">
      <c r="A48" s="36" t="s">
        <v>95</v>
      </c>
      <c r="B48" s="73"/>
      <c r="C48" s="79">
        <f t="shared" ref="C48:J48" si="5">C29+C37+C30+C36+C31+C40-C32-C38-C39</f>
        <v>69</v>
      </c>
      <c r="D48" s="273">
        <f t="shared" si="5"/>
        <v>72</v>
      </c>
      <c r="E48" s="79">
        <f t="shared" si="5"/>
        <v>-65</v>
      </c>
      <c r="F48" s="117">
        <f t="shared" si="5"/>
        <v>-44.5</v>
      </c>
      <c r="G48" s="117">
        <f t="shared" si="5"/>
        <v>-33</v>
      </c>
      <c r="H48" s="273">
        <f t="shared" si="5"/>
        <v>199.7</v>
      </c>
      <c r="I48" s="117">
        <f t="shared" si="5"/>
        <v>146.5</v>
      </c>
      <c r="J48" s="273">
        <f t="shared" si="5"/>
        <v>29.5</v>
      </c>
      <c r="K48" s="291"/>
      <c r="M48" s="292"/>
      <c r="O48" s="95"/>
    </row>
    <row r="49" spans="1:10" ht="23.25" customHeight="1" x14ac:dyDescent="0.2">
      <c r="A49" s="409" t="s">
        <v>173</v>
      </c>
      <c r="B49" s="410"/>
      <c r="C49" s="271">
        <f>C47-C48+'Weiterführung LR'!C21</f>
        <v>732</v>
      </c>
      <c r="D49" s="272">
        <f t="shared" ref="D49:J49" si="6">D47-D48</f>
        <v>458</v>
      </c>
      <c r="E49" s="271">
        <f t="shared" si="6"/>
        <v>265</v>
      </c>
      <c r="F49" s="271">
        <f t="shared" si="6"/>
        <v>254.5</v>
      </c>
      <c r="G49" s="271">
        <f t="shared" si="6"/>
        <v>93</v>
      </c>
      <c r="H49" s="272">
        <f t="shared" si="6"/>
        <v>-189.7</v>
      </c>
      <c r="I49" s="271">
        <f t="shared" si="6"/>
        <v>-136.5</v>
      </c>
      <c r="J49" s="272">
        <f t="shared" si="6"/>
        <v>-19.5</v>
      </c>
    </row>
    <row r="50" spans="1:10" x14ac:dyDescent="0.2">
      <c r="A50" s="36" t="s">
        <v>90</v>
      </c>
      <c r="B50" s="73"/>
      <c r="C50" s="117">
        <f>IF(C49="","",C49)</f>
        <v>732</v>
      </c>
      <c r="D50" s="273">
        <f>IF(C50="",D49,C50+D49)</f>
        <v>1190</v>
      </c>
      <c r="E50" s="79">
        <f t="shared" ref="E50:J50" si="7">IF(D50="",E49,D50+E49)</f>
        <v>1455</v>
      </c>
      <c r="F50" s="117">
        <f t="shared" si="7"/>
        <v>1709.5</v>
      </c>
      <c r="G50" s="117">
        <f t="shared" si="7"/>
        <v>1802.5</v>
      </c>
      <c r="H50" s="273">
        <f t="shared" si="7"/>
        <v>1612.8</v>
      </c>
      <c r="I50" s="117">
        <f t="shared" si="7"/>
        <v>1476.3</v>
      </c>
      <c r="J50" s="273">
        <f t="shared" si="7"/>
        <v>1456.8</v>
      </c>
    </row>
    <row r="51" spans="1:10" x14ac:dyDescent="0.2">
      <c r="A51" s="36" t="s">
        <v>91</v>
      </c>
      <c r="B51" s="73"/>
      <c r="C51" s="79">
        <f>Ausgangsdaten!J43-Ausgangsdaten!C43</f>
        <v>80</v>
      </c>
      <c r="D51" s="273">
        <f>C51+D49</f>
        <v>538</v>
      </c>
      <c r="E51" s="117">
        <f t="shared" ref="E51:J51" si="8">D51+E49</f>
        <v>803</v>
      </c>
      <c r="F51" s="117">
        <f t="shared" si="8"/>
        <v>1057.5</v>
      </c>
      <c r="G51" s="117">
        <f t="shared" si="8"/>
        <v>1150.5</v>
      </c>
      <c r="H51" s="273">
        <f t="shared" si="8"/>
        <v>960.8</v>
      </c>
      <c r="I51" s="79">
        <f t="shared" si="8"/>
        <v>824.3</v>
      </c>
      <c r="J51" s="273">
        <f t="shared" si="8"/>
        <v>804.8</v>
      </c>
    </row>
    <row r="52" spans="1:10" ht="6" customHeight="1" x14ac:dyDescent="0.2">
      <c r="A52" s="15"/>
      <c r="B52" s="73"/>
      <c r="C52" s="270"/>
      <c r="D52" s="272"/>
      <c r="E52" s="79"/>
      <c r="F52" s="271"/>
      <c r="G52" s="271"/>
      <c r="H52" s="273"/>
      <c r="I52" s="270"/>
      <c r="J52" s="18"/>
    </row>
    <row r="53" spans="1:10" ht="5.25" customHeight="1" x14ac:dyDescent="0.2">
      <c r="A53" s="1"/>
      <c r="B53" s="111"/>
      <c r="C53" s="268"/>
      <c r="D53" s="267"/>
      <c r="E53" s="268"/>
      <c r="F53" s="266"/>
      <c r="G53" s="266"/>
      <c r="H53" s="267"/>
      <c r="I53" s="268"/>
      <c r="J53" s="267"/>
    </row>
    <row r="54" spans="1:10" x14ac:dyDescent="0.2">
      <c r="A54" s="36" t="s">
        <v>92</v>
      </c>
      <c r="B54" s="73"/>
      <c r="C54" s="79">
        <f>'Budgets LR'!C16</f>
        <v>20</v>
      </c>
      <c r="D54" s="273">
        <f>'Budgets LR'!C48</f>
        <v>21</v>
      </c>
      <c r="E54" s="79">
        <f>'Weiterführung LR'!E20+Zinsänderung!D82</f>
        <v>65</v>
      </c>
      <c r="F54" s="117">
        <f>'Weiterführung LR'!F20+Zinsänderung!E83</f>
        <v>133</v>
      </c>
      <c r="G54" s="117">
        <f>'Weiterführung LR'!G20+Zinsänderung!F83</f>
        <v>217</v>
      </c>
      <c r="H54" s="273">
        <f>'Weiterführung LR'!H20+Zinsänderung!G83</f>
        <v>39</v>
      </c>
      <c r="I54" s="79">
        <f>'Weiterführung LR'!I20+Zinsänderung!H83</f>
        <v>-70</v>
      </c>
      <c r="J54" s="273">
        <f>'Weiterführung LR'!J20+Zinsänderung!I83</f>
        <v>-70</v>
      </c>
    </row>
    <row r="55" spans="1:10" x14ac:dyDescent="0.2">
      <c r="A55" s="36" t="s">
        <v>11</v>
      </c>
      <c r="B55" s="73"/>
      <c r="C55" s="79">
        <f>'Weiterführung LR'!C43-'Budgets LR'!G16</f>
        <v>500</v>
      </c>
      <c r="D55" s="273">
        <f>'Weiterführung LR'!D43-'Budgets LR'!G48</f>
        <v>510</v>
      </c>
      <c r="E55" s="79">
        <f>'Weiterführung LR'!E43-'Budgets LR'!$G$48</f>
        <v>430</v>
      </c>
      <c r="F55" s="117">
        <f>'Weiterführung LR'!F43-'Budgets LR'!$G$48</f>
        <v>430</v>
      </c>
      <c r="G55" s="117">
        <f>'Weiterführung LR'!G43-'Budgets LR'!$G$48</f>
        <v>430</v>
      </c>
      <c r="H55" s="273">
        <f>'Weiterführung LR'!H43-'Budgets LR'!$G$48</f>
        <v>430</v>
      </c>
      <c r="I55" s="79">
        <f>'Weiterführung LR'!I43-'Budgets LR'!$G$48</f>
        <v>430</v>
      </c>
      <c r="J55" s="273">
        <f>'Weiterführung LR'!J43-'Budgets LR'!$G$48</f>
        <v>430</v>
      </c>
    </row>
    <row r="56" spans="1:10" x14ac:dyDescent="0.2">
      <c r="A56" s="36" t="s">
        <v>93</v>
      </c>
      <c r="B56" s="73"/>
      <c r="C56" s="79">
        <f t="shared" ref="C56:J56" si="9">C54-C55</f>
        <v>-480</v>
      </c>
      <c r="D56" s="273">
        <f t="shared" si="9"/>
        <v>-489</v>
      </c>
      <c r="E56" s="79">
        <f t="shared" si="9"/>
        <v>-365</v>
      </c>
      <c r="F56" s="117">
        <f t="shared" si="9"/>
        <v>-297</v>
      </c>
      <c r="G56" s="117">
        <f t="shared" si="9"/>
        <v>-213</v>
      </c>
      <c r="H56" s="273">
        <f t="shared" si="9"/>
        <v>-391</v>
      </c>
      <c r="I56" s="79">
        <f t="shared" si="9"/>
        <v>-500</v>
      </c>
      <c r="J56" s="273">
        <f t="shared" si="9"/>
        <v>-500</v>
      </c>
    </row>
    <row r="57" spans="1:10" ht="6" customHeight="1" x14ac:dyDescent="0.2">
      <c r="A57" s="15"/>
      <c r="B57" s="78"/>
      <c r="C57" s="270"/>
      <c r="D57" s="272"/>
      <c r="E57" s="270"/>
      <c r="F57" s="271"/>
      <c r="G57" s="271"/>
      <c r="H57" s="272"/>
      <c r="I57" s="270"/>
      <c r="J57" s="18"/>
    </row>
    <row r="58" spans="1:10" ht="5.25" customHeight="1" x14ac:dyDescent="0.2">
      <c r="A58" s="1"/>
      <c r="B58" s="111"/>
      <c r="C58" s="268"/>
      <c r="D58" s="267"/>
      <c r="E58" s="268"/>
      <c r="F58" s="266"/>
      <c r="G58" s="266"/>
      <c r="H58" s="267"/>
      <c r="I58" s="268"/>
      <c r="J58" s="267"/>
    </row>
    <row r="59" spans="1:10" x14ac:dyDescent="0.2">
      <c r="A59" s="36" t="s">
        <v>160</v>
      </c>
      <c r="B59" s="73"/>
      <c r="C59" s="260"/>
      <c r="D59" s="273">
        <f>SUM(Zinsänderung!D31:D41)-SUM(Zinsänderung!D16:D26)</f>
        <v>110</v>
      </c>
      <c r="E59" s="117">
        <f>SUM(Zinsänderung!E31:E41)-SUM(Zinsänderung!E16:E26)</f>
        <v>0</v>
      </c>
      <c r="F59" s="117">
        <f>SUM(Zinsänderung!F31:F41)-SUM(Zinsänderung!F16:F26)</f>
        <v>1000</v>
      </c>
      <c r="G59" s="117">
        <f>SUM(Zinsänderung!G31:G41)-SUM(Zinsänderung!G16:G26)</f>
        <v>0</v>
      </c>
      <c r="H59" s="273">
        <f>SUM(Zinsänderung!H31:H41)-SUM(Zinsänderung!H16:H26)</f>
        <v>0</v>
      </c>
      <c r="I59" s="117">
        <f>SUM(Zinsänderung!I31:I41)-SUM(Zinsänderung!I16:I26)</f>
        <v>0</v>
      </c>
      <c r="J59" s="273">
        <f>SUM(Zinsänderung!J31:J41)-SUM(Zinsänderung!J16:J26)</f>
        <v>2000</v>
      </c>
    </row>
    <row r="60" spans="1:10" x14ac:dyDescent="0.2">
      <c r="A60" s="36" t="s">
        <v>161</v>
      </c>
      <c r="B60" s="73"/>
      <c r="C60" s="260"/>
      <c r="D60" s="273">
        <f>SUM(Zinsänderung!D63:D73)-SUM(Zinsänderung!D48:D58)</f>
        <v>0</v>
      </c>
      <c r="E60" s="117">
        <f>SUM(Zinsänderung!E63:E73)-SUM(Zinsänderung!E48:E58)</f>
        <v>0</v>
      </c>
      <c r="F60" s="117">
        <f>SUM(Zinsänderung!F63:F73)-SUM(Zinsänderung!F48:F58)</f>
        <v>0</v>
      </c>
      <c r="G60" s="117">
        <f>SUM(Zinsänderung!G63:G73)-SUM(Zinsänderung!G48:G58)</f>
        <v>4500</v>
      </c>
      <c r="H60" s="273">
        <f>SUM(Zinsänderung!H63:H73)-SUM(Zinsänderung!H48:H58)</f>
        <v>700</v>
      </c>
      <c r="I60" s="79">
        <f>SUM(Zinsänderung!I63:I73)-SUM(Zinsänderung!I48:I58)</f>
        <v>0</v>
      </c>
      <c r="J60" s="273">
        <f>SUM(Zinsänderung!J63:J73)-SUM(Zinsänderung!J48:J58)</f>
        <v>0</v>
      </c>
    </row>
    <row r="61" spans="1:10" ht="6" customHeight="1" x14ac:dyDescent="0.2">
      <c r="A61" s="15"/>
      <c r="B61" s="78"/>
      <c r="C61" s="270"/>
      <c r="D61" s="272"/>
      <c r="E61" s="270"/>
      <c r="F61" s="271"/>
      <c r="G61" s="271"/>
      <c r="H61" s="272"/>
      <c r="I61" s="270"/>
      <c r="J61" s="18"/>
    </row>
  </sheetData>
  <sheetProtection algorithmName="SHA-512" hashValue="vPFDOphR2OHpMXuiIWR6bAPCSF8QqPy0rvn+NAAHmFQIFIqgTtdr7uFb0qtR19lQPxe4/ZtfVoDayVy5qcbF6Q==" saltValue="D/gyPjHE2kutw0z41/KmKw==" spinCount="100000" sheet="1" objects="1" scenarios="1"/>
  <mergeCells count="13">
    <mergeCell ref="A49:B49"/>
    <mergeCell ref="A43:B43"/>
    <mergeCell ref="A2:B3"/>
    <mergeCell ref="C2:J3"/>
    <mergeCell ref="A5:B6"/>
    <mergeCell ref="C5:C6"/>
    <mergeCell ref="D5:D6"/>
    <mergeCell ref="E5:E6"/>
    <mergeCell ref="A13:B13"/>
    <mergeCell ref="E13:H13"/>
    <mergeCell ref="I13:J13"/>
    <mergeCell ref="A10:D10"/>
    <mergeCell ref="H10:J10"/>
  </mergeCells>
  <phoneticPr fontId="1" type="noConversion"/>
  <conditionalFormatting sqref="C43:J43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55118110236220474" right="0.43307086614173229" top="0.98425196850393704" bottom="0.98425196850393704" header="0.51181102362204722" footer="0.51181102362204722"/>
  <pageSetup paperSize="9" scale="96" orientation="portrait" r:id="rId1"/>
  <headerFooter alignWithMargins="0"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61"/>
  <sheetViews>
    <sheetView topLeftCell="A64" zoomScale="150" zoomScaleNormal="150" workbookViewId="0">
      <selection activeCell="C87" sqref="C87"/>
    </sheetView>
  </sheetViews>
  <sheetFormatPr baseColWidth="10" defaultRowHeight="14.25" x14ac:dyDescent="0.2"/>
  <cols>
    <col min="1" max="1" width="6.125" style="42" customWidth="1"/>
    <col min="2" max="2" width="23.5" style="5" customWidth="1"/>
    <col min="3" max="3" width="7.625" style="298" customWidth="1"/>
    <col min="4" max="4" width="5.875" style="8" customWidth="1"/>
    <col min="5" max="5" width="6.125" style="8" bestFit="1" customWidth="1"/>
    <col min="6" max="10" width="5.625" style="8" customWidth="1"/>
    <col min="11" max="11" width="14.75" style="318" bestFit="1" customWidth="1"/>
    <col min="12" max="12" width="5.25" style="318" customWidth="1"/>
    <col min="13" max="17" width="14.75" style="318" bestFit="1" customWidth="1"/>
    <col min="18" max="16384" width="11" style="318"/>
  </cols>
  <sheetData>
    <row r="1" spans="1:17" s="5" customFormat="1" ht="11.25" x14ac:dyDescent="0.2">
      <c r="A1" s="1"/>
      <c r="B1" s="2"/>
      <c r="C1" s="296"/>
      <c r="D1" s="2"/>
      <c r="E1" s="91"/>
      <c r="F1" s="2"/>
      <c r="G1" s="3"/>
      <c r="H1" s="2"/>
      <c r="I1" s="2"/>
      <c r="J1" s="111"/>
    </row>
    <row r="2" spans="1:17" s="5" customFormat="1" ht="14.25" customHeight="1" x14ac:dyDescent="0.2">
      <c r="A2" s="354" t="str">
        <f>Ausgangsdaten!A2</f>
        <v xml:space="preserve">Korporation </v>
      </c>
      <c r="B2" s="355"/>
      <c r="C2" s="372" t="str">
        <f>Ausgangsdaten!C2</f>
        <v>Muster</v>
      </c>
      <c r="D2" s="372"/>
      <c r="E2" s="372"/>
      <c r="F2" s="372"/>
      <c r="G2" s="372"/>
      <c r="H2" s="372"/>
      <c r="I2" s="372"/>
      <c r="J2" s="373"/>
    </row>
    <row r="3" spans="1:17" s="5" customFormat="1" ht="11.25" customHeight="1" x14ac:dyDescent="0.2">
      <c r="A3" s="354"/>
      <c r="B3" s="355"/>
      <c r="C3" s="372"/>
      <c r="D3" s="372"/>
      <c r="E3" s="372"/>
      <c r="F3" s="372"/>
      <c r="G3" s="372"/>
      <c r="H3" s="372"/>
      <c r="I3" s="372"/>
      <c r="J3" s="373"/>
    </row>
    <row r="4" spans="1:17" s="5" customFormat="1" ht="11.25" customHeight="1" x14ac:dyDescent="0.25">
      <c r="A4" s="112"/>
      <c r="B4" s="6"/>
      <c r="C4" s="138"/>
      <c r="D4" s="6"/>
      <c r="E4" s="6"/>
      <c r="F4" s="6"/>
      <c r="G4" s="6"/>
      <c r="H4" s="10"/>
      <c r="I4" s="10"/>
      <c r="J4" s="73"/>
    </row>
    <row r="5" spans="1:17" s="5" customFormat="1" ht="11.25" customHeight="1" x14ac:dyDescent="0.25">
      <c r="A5" s="374" t="str">
        <f>Ausgangsdaten!A4</f>
        <v>Finanzplan</v>
      </c>
      <c r="B5" s="375"/>
      <c r="C5" s="361">
        <f>Ausgangsdaten!C4</f>
        <v>2017</v>
      </c>
      <c r="D5" s="363" t="s">
        <v>62</v>
      </c>
      <c r="E5" s="362">
        <f>Ausgangsdaten!E4</f>
        <v>2021</v>
      </c>
      <c r="F5" s="6"/>
      <c r="G5" s="6"/>
      <c r="H5" s="10"/>
      <c r="I5" s="10"/>
      <c r="J5" s="73"/>
    </row>
    <row r="6" spans="1:17" s="5" customFormat="1" ht="11.25" customHeight="1" x14ac:dyDescent="0.25">
      <c r="A6" s="374"/>
      <c r="B6" s="375"/>
      <c r="C6" s="375"/>
      <c r="D6" s="363"/>
      <c r="E6" s="363"/>
      <c r="F6" s="6"/>
      <c r="G6" s="6"/>
      <c r="H6" s="10"/>
      <c r="I6" s="10"/>
      <c r="J6" s="73"/>
    </row>
    <row r="7" spans="1:17" s="5" customFormat="1" ht="11.25" x14ac:dyDescent="0.2">
      <c r="A7" s="15"/>
      <c r="B7" s="16"/>
      <c r="C7" s="297"/>
      <c r="D7" s="17"/>
      <c r="E7" s="17"/>
      <c r="F7" s="17"/>
      <c r="G7" s="17"/>
      <c r="H7" s="17"/>
      <c r="I7" s="17"/>
      <c r="J7" s="18"/>
      <c r="K7" s="8"/>
    </row>
    <row r="8" spans="1:17" s="5" customFormat="1" ht="11.25" x14ac:dyDescent="0.2">
      <c r="A8" s="42"/>
      <c r="C8" s="298"/>
      <c r="D8" s="8"/>
      <c r="E8" s="8"/>
      <c r="F8" s="8"/>
      <c r="G8" s="8"/>
      <c r="H8" s="8"/>
      <c r="I8" s="8"/>
      <c r="J8" s="8"/>
      <c r="K8" s="8"/>
    </row>
    <row r="9" spans="1:17" s="5" customFormat="1" ht="11.25" x14ac:dyDescent="0.2">
      <c r="A9" s="42"/>
      <c r="C9" s="298"/>
      <c r="D9" s="8"/>
      <c r="E9" s="8"/>
      <c r="F9" s="8"/>
      <c r="G9" s="8"/>
      <c r="H9" s="8"/>
      <c r="I9" s="8"/>
      <c r="J9" s="8"/>
      <c r="K9" s="8"/>
    </row>
    <row r="10" spans="1:17" s="5" customFormat="1" ht="11.25" x14ac:dyDescent="0.2">
      <c r="A10" s="19"/>
      <c r="B10" s="20"/>
      <c r="C10" s="299"/>
      <c r="D10" s="22"/>
      <c r="E10" s="22"/>
      <c r="F10" s="22"/>
      <c r="G10" s="22"/>
      <c r="H10" s="22"/>
      <c r="I10" s="22"/>
      <c r="J10" s="21"/>
      <c r="K10" s="8"/>
    </row>
    <row r="11" spans="1:17" s="5" customFormat="1" x14ac:dyDescent="0.2">
      <c r="A11" s="348" t="s">
        <v>100</v>
      </c>
      <c r="B11" s="380"/>
      <c r="C11" s="300"/>
      <c r="D11" s="113"/>
      <c r="E11" s="113"/>
      <c r="F11" s="113"/>
      <c r="G11" s="113"/>
      <c r="H11" s="350" t="s">
        <v>85</v>
      </c>
      <c r="I11" s="378"/>
      <c r="J11" s="379"/>
      <c r="K11" s="8"/>
    </row>
    <row r="12" spans="1:17" s="5" customFormat="1" ht="11.25" x14ac:dyDescent="0.2">
      <c r="A12" s="31"/>
      <c r="B12" s="32"/>
      <c r="C12" s="301"/>
      <c r="D12" s="35"/>
      <c r="E12" s="35"/>
      <c r="F12" s="35"/>
      <c r="G12" s="35"/>
      <c r="H12" s="35"/>
      <c r="I12" s="35"/>
      <c r="J12" s="34"/>
      <c r="K12" s="8"/>
    </row>
    <row r="13" spans="1:17" s="5" customFormat="1" ht="11.25" x14ac:dyDescent="0.2">
      <c r="A13" s="19"/>
      <c r="B13" s="20"/>
      <c r="C13" s="302"/>
      <c r="D13" s="21"/>
      <c r="E13" s="23"/>
      <c r="F13" s="22"/>
      <c r="G13" s="22"/>
      <c r="H13" s="21"/>
      <c r="I13" s="22"/>
      <c r="J13" s="21"/>
      <c r="K13" s="8"/>
    </row>
    <row r="14" spans="1:17" s="25" customFormat="1" ht="11.25" x14ac:dyDescent="0.2">
      <c r="A14" s="348" t="s">
        <v>15</v>
      </c>
      <c r="B14" s="349"/>
      <c r="C14" s="303" t="str">
        <f>Ausgangsdaten!C17</f>
        <v>Rechnung</v>
      </c>
      <c r="D14" s="24" t="s">
        <v>0</v>
      </c>
      <c r="E14" s="371" t="s">
        <v>26</v>
      </c>
      <c r="F14" s="358"/>
      <c r="G14" s="358"/>
      <c r="H14" s="359"/>
      <c r="I14" s="371" t="s">
        <v>77</v>
      </c>
      <c r="J14" s="359"/>
      <c r="K14" s="115"/>
      <c r="L14" s="5"/>
      <c r="M14" s="5"/>
      <c r="N14" s="5"/>
      <c r="O14" s="5"/>
      <c r="P14" s="5"/>
      <c r="Q14" s="5"/>
    </row>
    <row r="15" spans="1:17" s="5" customFormat="1" ht="11.25" x14ac:dyDescent="0.2">
      <c r="A15" s="26"/>
      <c r="B15" s="27"/>
      <c r="C15" s="304">
        <f>SUM(Ausgangsdaten!C11)</f>
        <v>2016</v>
      </c>
      <c r="D15" s="305">
        <f>SUM(Ausgangsdaten!C12)</f>
        <v>2017</v>
      </c>
      <c r="E15" s="28">
        <f>SUM(Ausgangsdaten!C13)</f>
        <v>2018</v>
      </c>
      <c r="F15" s="30">
        <f>SUM(E15+1)</f>
        <v>2019</v>
      </c>
      <c r="G15" s="30">
        <f>SUM(F15+1)</f>
        <v>2020</v>
      </c>
      <c r="H15" s="29">
        <f>SUM(G15+1)</f>
        <v>2021</v>
      </c>
      <c r="I15" s="30">
        <f>SUM(H15+1)</f>
        <v>2022</v>
      </c>
      <c r="J15" s="29">
        <f>SUM(I15+1)</f>
        <v>2023</v>
      </c>
      <c r="K15" s="8"/>
    </row>
    <row r="16" spans="1:17" s="5" customFormat="1" ht="11.25" x14ac:dyDescent="0.2">
      <c r="A16" s="31"/>
      <c r="B16" s="32"/>
      <c r="C16" s="306"/>
      <c r="D16" s="34"/>
      <c r="E16" s="33"/>
      <c r="F16" s="35"/>
      <c r="G16" s="35"/>
      <c r="H16" s="34"/>
      <c r="I16" s="35"/>
      <c r="J16" s="34"/>
      <c r="K16" s="8"/>
    </row>
    <row r="17" spans="1:17" s="5" customFormat="1" ht="11.25" x14ac:dyDescent="0.2">
      <c r="A17" s="36"/>
      <c r="B17" s="10"/>
      <c r="C17" s="307"/>
      <c r="D17" s="13"/>
      <c r="E17" s="37"/>
      <c r="F17" s="11"/>
      <c r="G17" s="11"/>
      <c r="H17" s="13"/>
      <c r="I17" s="11"/>
      <c r="J17" s="13"/>
      <c r="K17" s="8"/>
    </row>
    <row r="18" spans="1:17" s="5" customFormat="1" ht="11.25" x14ac:dyDescent="0.2">
      <c r="A18" s="36">
        <v>333</v>
      </c>
      <c r="B18" s="10" t="s">
        <v>142</v>
      </c>
      <c r="C18" s="307">
        <f>'Budgets LR'!C21+'Budgets LR'!C33</f>
        <v>0</v>
      </c>
      <c r="D18" s="308">
        <f>'Budgets LR'!C53+Abschreibungen!D46</f>
        <v>0</v>
      </c>
      <c r="E18" s="37">
        <f>Abschreibungen!E44+Abschreibungen!E46</f>
        <v>0</v>
      </c>
      <c r="F18" s="11">
        <f>Abschreibungen!F44+Abschreibungen!F46</f>
        <v>0</v>
      </c>
      <c r="G18" s="11">
        <f>Abschreibungen!G44+Abschreibungen!G46</f>
        <v>0</v>
      </c>
      <c r="H18" s="13">
        <f>Abschreibungen!H44+Abschreibungen!H46</f>
        <v>52.2</v>
      </c>
      <c r="I18" s="37">
        <f>Abschreibungen!I44+Abschreibungen!I46</f>
        <v>0</v>
      </c>
      <c r="J18" s="13">
        <f>Abschreibungen!J44+Abschreibungen!J46</f>
        <v>0</v>
      </c>
      <c r="K18" s="125"/>
      <c r="L18" s="95"/>
    </row>
    <row r="19" spans="1:17" s="5" customFormat="1" ht="11.25" x14ac:dyDescent="0.2">
      <c r="A19" s="15"/>
      <c r="B19" s="16"/>
      <c r="C19" s="309"/>
      <c r="D19" s="18"/>
      <c r="E19" s="41"/>
      <c r="F19" s="17"/>
      <c r="G19" s="17"/>
      <c r="H19" s="18"/>
      <c r="I19" s="271"/>
      <c r="J19" s="18"/>
      <c r="K19" s="8"/>
    </row>
    <row r="20" spans="1:17" s="311" customFormat="1" x14ac:dyDescent="0.2">
      <c r="A20" s="69"/>
      <c r="B20" s="10"/>
      <c r="C20" s="310"/>
      <c r="D20" s="11"/>
      <c r="E20" s="11"/>
      <c r="F20" s="11"/>
      <c r="G20" s="11"/>
      <c r="H20" s="11"/>
      <c r="I20" s="11"/>
      <c r="J20" s="11"/>
      <c r="L20" s="5"/>
      <c r="M20" s="5"/>
      <c r="N20" s="5"/>
      <c r="O20" s="5"/>
      <c r="P20" s="5"/>
      <c r="Q20" s="5"/>
    </row>
    <row r="21" spans="1:17" x14ac:dyDescent="0.2">
      <c r="A21" s="312" t="str">
        <f>"Restsaldo der  aktivierten Aufwandüberschüsse aus den Jahren "&amp;A22&amp;" bis "&amp;A31&amp; " (nach Abschluss "&amp;A31 &amp; ")"</f>
        <v>Restsaldo der  aktivierten Aufwandüberschüsse aus den Jahren 2007 bis 2016 (nach Abschluss 2016)</v>
      </c>
      <c r="B21" s="313"/>
      <c r="C21" s="314"/>
      <c r="D21" s="313"/>
      <c r="E21" s="313"/>
      <c r="F21" s="313"/>
      <c r="G21" s="313"/>
      <c r="H21" s="313"/>
      <c r="I21" s="413" t="s">
        <v>85</v>
      </c>
      <c r="J21" s="414"/>
      <c r="K21" s="315" t="str">
        <f>"Saldo BF Ende "&amp;C15</f>
        <v>Saldo BF Ende 2016</v>
      </c>
      <c r="L21" s="316" t="str">
        <f>IF(Zusammenfassung!C43&lt;0,Zusammenfassung!C43*-1,"")</f>
        <v/>
      </c>
      <c r="M21" s="317"/>
      <c r="N21" s="5"/>
      <c r="O21" s="5"/>
      <c r="P21" s="5"/>
      <c r="Q21" s="5"/>
    </row>
    <row r="22" spans="1:17" x14ac:dyDescent="0.2">
      <c r="A22" s="319">
        <f>'Budgets LR'!$D$41-10</f>
        <v>2007</v>
      </c>
      <c r="B22" s="415">
        <f>D15</f>
        <v>2017</v>
      </c>
      <c r="C22" s="335">
        <v>0</v>
      </c>
      <c r="D22" s="91" t="str">
        <f>"ord. Abschr. BF "&amp;A22&amp; " im Jahr "&amp;$D15</f>
        <v>ord. Abschr. BF 2007 im Jahr 2017</v>
      </c>
      <c r="E22" s="3"/>
      <c r="F22" s="3"/>
      <c r="G22" s="3"/>
      <c r="H22" s="3"/>
      <c r="I22" s="3"/>
      <c r="J22" s="4">
        <f>C22/1</f>
        <v>0</v>
      </c>
      <c r="L22" s="5"/>
      <c r="M22" s="5"/>
      <c r="N22" s="5"/>
      <c r="O22" s="5"/>
      <c r="P22" s="5"/>
      <c r="Q22" s="5"/>
    </row>
    <row r="23" spans="1:17" x14ac:dyDescent="0.2">
      <c r="A23" s="320">
        <f>'Budgets LR'!$D$41-9</f>
        <v>2008</v>
      </c>
      <c r="B23" s="416"/>
      <c r="C23" s="336">
        <v>0</v>
      </c>
      <c r="D23" s="69" t="str">
        <f>"ord. Abschr. BF "&amp;A23&amp; " in den Jahren "&amp;A31+1&amp;" bis "&amp;A24+9</f>
        <v>ord. Abschr. BF 2008 in den Jahren 2017 bis 2018</v>
      </c>
      <c r="E23" s="11"/>
      <c r="F23" s="11"/>
      <c r="G23" s="11"/>
      <c r="H23" s="11"/>
      <c r="I23" s="11"/>
      <c r="J23" s="13">
        <f>C23/2</f>
        <v>0</v>
      </c>
      <c r="K23" s="321"/>
      <c r="L23" s="5"/>
      <c r="M23" s="5"/>
      <c r="N23" s="5"/>
      <c r="O23" s="5"/>
      <c r="P23" s="5"/>
      <c r="Q23" s="5"/>
    </row>
    <row r="24" spans="1:17" x14ac:dyDescent="0.2">
      <c r="A24" s="320">
        <f>'Budgets LR'!$D$41-8</f>
        <v>2009</v>
      </c>
      <c r="B24" s="416"/>
      <c r="C24" s="336">
        <v>0</v>
      </c>
      <c r="D24" s="69" t="str">
        <f>"ord. Abschr. BF "&amp;A24&amp; " in den Jahren "&amp;A31+1&amp;" bis "&amp;A25+9</f>
        <v>ord. Abschr. BF 2009 in den Jahren 2017 bis 2019</v>
      </c>
      <c r="E24" s="11"/>
      <c r="F24" s="11"/>
      <c r="G24" s="11"/>
      <c r="H24" s="11"/>
      <c r="I24" s="11"/>
      <c r="J24" s="13">
        <f>C24/3</f>
        <v>0</v>
      </c>
      <c r="K24" s="321"/>
      <c r="L24" s="5"/>
      <c r="M24" s="5"/>
      <c r="N24" s="5"/>
      <c r="O24" s="5"/>
      <c r="P24" s="5"/>
      <c r="Q24" s="5"/>
    </row>
    <row r="25" spans="1:17" x14ac:dyDescent="0.2">
      <c r="A25" s="320">
        <f>'Budgets LR'!$D$41-7</f>
        <v>2010</v>
      </c>
      <c r="B25" s="416"/>
      <c r="C25" s="336">
        <v>0</v>
      </c>
      <c r="D25" s="69" t="str">
        <f>"ord. Abschr. BF "&amp;A25&amp; " in den Jahren "&amp;A31+1&amp;" bis "&amp;A26+9</f>
        <v>ord. Abschr. BF 2010 in den Jahren 2017 bis 2020</v>
      </c>
      <c r="E25" s="11"/>
      <c r="F25" s="11"/>
      <c r="G25" s="11"/>
      <c r="H25" s="11"/>
      <c r="I25" s="11"/>
      <c r="J25" s="13">
        <f>C25/4</f>
        <v>0</v>
      </c>
      <c r="K25" s="321"/>
      <c r="L25" s="5"/>
      <c r="M25" s="5"/>
      <c r="N25" s="5"/>
      <c r="O25" s="5"/>
      <c r="P25" s="5"/>
      <c r="Q25" s="5"/>
    </row>
    <row r="26" spans="1:17" x14ac:dyDescent="0.2">
      <c r="A26" s="320">
        <f>'Budgets LR'!$D$41-6</f>
        <v>2011</v>
      </c>
      <c r="B26" s="416"/>
      <c r="C26" s="336">
        <v>0</v>
      </c>
      <c r="D26" s="69" t="str">
        <f>"ord. Abschr. BF "&amp;A26&amp; " in den Jahren "&amp;A31+1&amp;" bis "&amp;A27+9</f>
        <v>ord. Abschr. BF 2011 in den Jahren 2017 bis 2021</v>
      </c>
      <c r="E26" s="11"/>
      <c r="F26" s="11"/>
      <c r="G26" s="11"/>
      <c r="H26" s="11"/>
      <c r="I26" s="11"/>
      <c r="J26" s="13">
        <f>C26/5</f>
        <v>0</v>
      </c>
      <c r="K26" s="321"/>
      <c r="L26" s="5"/>
      <c r="M26" s="5"/>
      <c r="N26" s="5"/>
      <c r="O26" s="5"/>
      <c r="P26" s="5"/>
      <c r="Q26" s="5"/>
    </row>
    <row r="27" spans="1:17" x14ac:dyDescent="0.2">
      <c r="A27" s="320">
        <f>'Budgets LR'!$D$41-5</f>
        <v>2012</v>
      </c>
      <c r="B27" s="416"/>
      <c r="C27" s="336">
        <v>0</v>
      </c>
      <c r="D27" s="69" t="str">
        <f>"ord. Abschr. BF "&amp;A27&amp; " in den Jahren "&amp;A31+1&amp;" bis "&amp;A28+9</f>
        <v>ord. Abschr. BF 2012 in den Jahren 2017 bis 2022</v>
      </c>
      <c r="E27" s="11"/>
      <c r="F27" s="11"/>
      <c r="G27" s="11"/>
      <c r="H27" s="11"/>
      <c r="I27" s="11"/>
      <c r="J27" s="13">
        <f>C27/6</f>
        <v>0</v>
      </c>
      <c r="K27" s="321"/>
      <c r="L27" s="5"/>
      <c r="M27" s="5"/>
      <c r="N27" s="5"/>
      <c r="O27" s="5"/>
      <c r="P27" s="5"/>
      <c r="Q27" s="5"/>
    </row>
    <row r="28" spans="1:17" x14ac:dyDescent="0.2">
      <c r="A28" s="320">
        <f>'Budgets LR'!$D$41-4</f>
        <v>2013</v>
      </c>
      <c r="B28" s="416"/>
      <c r="C28" s="336">
        <v>0</v>
      </c>
      <c r="D28" s="69" t="str">
        <f>"ord. Abschr. BF "&amp;A28&amp; " in den Jahren "&amp;A31+1&amp;" bis "&amp;A29+9</f>
        <v>ord. Abschr. BF 2013 in den Jahren 2017 bis 2023</v>
      </c>
      <c r="E28" s="11"/>
      <c r="F28" s="11"/>
      <c r="G28" s="11"/>
      <c r="H28" s="11"/>
      <c r="I28" s="11"/>
      <c r="J28" s="13">
        <f>C28/7</f>
        <v>0</v>
      </c>
      <c r="K28" s="321"/>
      <c r="L28" s="334"/>
      <c r="M28" s="5"/>
      <c r="N28" s="5"/>
      <c r="O28" s="5"/>
      <c r="P28" s="5"/>
      <c r="Q28" s="5"/>
    </row>
    <row r="29" spans="1:17" x14ac:dyDescent="0.2">
      <c r="A29" s="320">
        <f>'Budgets LR'!$D$41-3</f>
        <v>2014</v>
      </c>
      <c r="B29" s="416"/>
      <c r="C29" s="336">
        <v>0</v>
      </c>
      <c r="D29" s="69" t="str">
        <f>"ord. Abschr. BF "&amp;A29&amp; " in den Jahren "&amp;A31+1&amp;" bis "&amp;A30+9</f>
        <v>ord. Abschr. BF 2014 in den Jahren 2017 bis 2024</v>
      </c>
      <c r="E29" s="11"/>
      <c r="F29" s="11"/>
      <c r="G29" s="11"/>
      <c r="H29" s="11"/>
      <c r="I29" s="11"/>
      <c r="J29" s="13">
        <f>C29/8</f>
        <v>0</v>
      </c>
      <c r="K29" s="321"/>
      <c r="L29" s="5"/>
      <c r="M29" s="5"/>
      <c r="N29" s="5"/>
      <c r="O29" s="5"/>
      <c r="P29" s="5"/>
      <c r="Q29" s="5"/>
    </row>
    <row r="30" spans="1:17" x14ac:dyDescent="0.2">
      <c r="A30" s="320">
        <f>'Budgets LR'!$D$41-2</f>
        <v>2015</v>
      </c>
      <c r="B30" s="416"/>
      <c r="C30" s="336">
        <v>0</v>
      </c>
      <c r="D30" s="69" t="str">
        <f>"ord. Abschr. BF "&amp;A30&amp; " in den Jahren "&amp;A31+1&amp;" bis "&amp;A30+10</f>
        <v>ord. Abschr. BF 2015 in den Jahren 2017 bis 2025</v>
      </c>
      <c r="E30" s="11"/>
      <c r="F30" s="11"/>
      <c r="G30" s="11"/>
      <c r="H30" s="11"/>
      <c r="I30" s="11"/>
      <c r="J30" s="13">
        <f>C30/9</f>
        <v>0</v>
      </c>
      <c r="K30" s="321"/>
      <c r="L30" s="5"/>
      <c r="M30" s="5"/>
      <c r="N30" s="5"/>
      <c r="O30" s="5"/>
      <c r="P30" s="5"/>
      <c r="Q30" s="5"/>
    </row>
    <row r="31" spans="1:17" x14ac:dyDescent="0.2">
      <c r="A31" s="320">
        <f>'Budgets LR'!$D$41-1</f>
        <v>2016</v>
      </c>
      <c r="B31" s="417"/>
      <c r="C31" s="336">
        <v>0</v>
      </c>
      <c r="D31" s="69" t="str">
        <f>"ord. Abschr. BF "&amp;A31&amp; " in den Jahren "&amp;A31+1&amp;" bis "&amp;A31+10</f>
        <v>ord. Abschr. BF 2016 in den Jahren 2017 bis 2026</v>
      </c>
      <c r="E31" s="11"/>
      <c r="F31" s="11"/>
      <c r="G31" s="11"/>
      <c r="H31" s="11"/>
      <c r="I31" s="11"/>
      <c r="J31" s="13">
        <f>C31/10</f>
        <v>0</v>
      </c>
      <c r="K31" s="321"/>
      <c r="L31" s="5"/>
      <c r="M31" s="5"/>
      <c r="N31" s="5"/>
      <c r="O31" s="5"/>
      <c r="P31" s="5"/>
      <c r="Q31" s="5"/>
    </row>
    <row r="32" spans="1:17" x14ac:dyDescent="0.2">
      <c r="A32" s="322" t="str">
        <f>"ordentliche Abschreibungen "&amp;A31+1</f>
        <v>ordentliche Abschreibungen 2017</v>
      </c>
      <c r="B32" s="70"/>
      <c r="C32" s="70"/>
      <c r="D32" s="70"/>
      <c r="E32" s="70"/>
      <c r="F32" s="70"/>
      <c r="G32" s="70"/>
      <c r="H32" s="70"/>
      <c r="I32" s="70"/>
      <c r="J32" s="323">
        <f>SUM(J22:J31)</f>
        <v>0</v>
      </c>
      <c r="L32" s="5"/>
      <c r="M32" s="5"/>
      <c r="N32" s="5"/>
      <c r="O32" s="5"/>
      <c r="P32" s="5"/>
      <c r="Q32" s="5"/>
    </row>
    <row r="33" spans="1:17" x14ac:dyDescent="0.2">
      <c r="A33" s="324" t="str">
        <f>"zusätzliche Abschreibungen auf dem Bilanzfehlbetrag beim Abschluss "&amp;D15</f>
        <v>zusätzliche Abschreibungen auf dem Bilanzfehlbetrag beim Abschluss 2017</v>
      </c>
      <c r="B33" s="72"/>
      <c r="C33" s="72"/>
      <c r="D33" s="72"/>
      <c r="E33" s="72"/>
      <c r="F33" s="72"/>
      <c r="G33" s="72"/>
      <c r="H33" s="72"/>
      <c r="I33" s="72"/>
      <c r="J33" s="325">
        <f>Zusammenfassung!D36</f>
        <v>0</v>
      </c>
      <c r="N33" s="5"/>
      <c r="O33" s="5"/>
      <c r="P33" s="5"/>
      <c r="Q33" s="5"/>
    </row>
    <row r="34" spans="1:17" ht="15" x14ac:dyDescent="0.2">
      <c r="A34" s="257"/>
      <c r="L34" s="5"/>
      <c r="M34" s="5"/>
      <c r="N34" s="5"/>
      <c r="O34" s="5"/>
      <c r="P34" s="5"/>
      <c r="Q34" s="5"/>
    </row>
    <row r="35" spans="1:17" x14ac:dyDescent="0.2">
      <c r="A35" s="312" t="str">
        <f>"Restsaldo der  aktivierten Aufwandüberschüsse aus den Jahren "&amp;A36&amp;" bis "&amp;A45&amp; " (nach Abschluss "&amp;A45 &amp; ")"</f>
        <v>Restsaldo der  aktivierten Aufwandüberschüsse aus den Jahren 2008 bis 2017 (nach Abschluss 2017)</v>
      </c>
      <c r="B35" s="314"/>
      <c r="C35" s="314"/>
      <c r="D35" s="314"/>
      <c r="E35" s="314"/>
      <c r="F35" s="313"/>
      <c r="G35" s="313"/>
      <c r="H35" s="313"/>
      <c r="I35" s="413" t="s">
        <v>85</v>
      </c>
      <c r="J35" s="414"/>
      <c r="K35" s="315" t="str">
        <f>"Saldo BF Ende "&amp;D15</f>
        <v>Saldo BF Ende 2017</v>
      </c>
      <c r="L35" s="316" t="str">
        <f>IF(Zusammenfassung!D43&lt;0,Zusammenfassung!D43*-1,"")</f>
        <v/>
      </c>
      <c r="M35" s="317"/>
      <c r="N35" s="5"/>
      <c r="O35" s="5"/>
      <c r="P35" s="5"/>
      <c r="Q35" s="5"/>
    </row>
    <row r="36" spans="1:17" ht="14.25" customHeight="1" x14ac:dyDescent="0.2">
      <c r="A36" s="319">
        <f>'Budgets LR'!$D$41-9</f>
        <v>2008</v>
      </c>
      <c r="B36" s="415">
        <f>E15</f>
        <v>2018</v>
      </c>
      <c r="C36" s="336">
        <v>0</v>
      </c>
      <c r="D36" s="91" t="str">
        <f>"ord. Abschr. BF "&amp;A36 &amp;" im Jahr "&amp;E15</f>
        <v>ord. Abschr. BF 2008 im Jahr 2018</v>
      </c>
      <c r="E36" s="3"/>
      <c r="F36" s="3"/>
      <c r="G36" s="3"/>
      <c r="H36" s="3"/>
      <c r="I36" s="3"/>
      <c r="J36" s="8">
        <f>IF(C36&gt;K36,K36,C36)</f>
        <v>0</v>
      </c>
      <c r="K36" s="326">
        <f t="shared" ref="K36:K44" si="0">J23</f>
        <v>0</v>
      </c>
      <c r="L36" s="10"/>
      <c r="M36" s="5"/>
      <c r="N36" s="5"/>
      <c r="O36" s="5"/>
      <c r="P36" s="5"/>
      <c r="Q36" s="5"/>
    </row>
    <row r="37" spans="1:17" ht="14.25" customHeight="1" x14ac:dyDescent="0.2">
      <c r="A37" s="320">
        <f>'Budgets LR'!$D$41-8</f>
        <v>2009</v>
      </c>
      <c r="B37" s="416"/>
      <c r="C37" s="336">
        <v>0</v>
      </c>
      <c r="D37" s="69" t="str">
        <f>"ord. Abschr. BF "&amp;A37&amp; " in den Jahren "&amp;A45+1&amp;" bis "&amp;A38+9</f>
        <v>ord. Abschr. BF 2009 in den Jahren 2018 bis 2019</v>
      </c>
      <c r="E37" s="11"/>
      <c r="F37" s="11"/>
      <c r="G37" s="11"/>
      <c r="H37" s="11"/>
      <c r="I37" s="11"/>
      <c r="J37" s="8">
        <f t="shared" ref="J37:J45" si="1">IF(C37&gt;K37,K37,C37)</f>
        <v>0</v>
      </c>
      <c r="K37" s="327">
        <f t="shared" si="0"/>
        <v>0</v>
      </c>
      <c r="L37" s="5"/>
      <c r="M37" s="5"/>
      <c r="N37" s="5"/>
      <c r="O37" s="5"/>
      <c r="P37" s="5"/>
      <c r="Q37" s="5"/>
    </row>
    <row r="38" spans="1:17" ht="14.25" customHeight="1" x14ac:dyDescent="0.2">
      <c r="A38" s="320">
        <f>'Budgets LR'!$D$41-7</f>
        <v>2010</v>
      </c>
      <c r="B38" s="416"/>
      <c r="C38" s="336">
        <v>0</v>
      </c>
      <c r="D38" s="69" t="str">
        <f>"ord. Abschr. BF "&amp;A38&amp; " in den Jahren "&amp;A45+1&amp;" bis "&amp;A39+9</f>
        <v>ord. Abschr. BF 2010 in den Jahren 2018 bis 2020</v>
      </c>
      <c r="E38" s="11"/>
      <c r="F38" s="11"/>
      <c r="G38" s="11"/>
      <c r="H38" s="11"/>
      <c r="I38" s="11"/>
      <c r="J38" s="8">
        <f t="shared" si="1"/>
        <v>0</v>
      </c>
      <c r="K38" s="327">
        <f t="shared" si="0"/>
        <v>0</v>
      </c>
      <c r="L38" s="5"/>
      <c r="M38" s="5"/>
      <c r="N38" s="5"/>
      <c r="O38" s="5"/>
      <c r="P38" s="5"/>
      <c r="Q38" s="5"/>
    </row>
    <row r="39" spans="1:17" ht="14.25" customHeight="1" x14ac:dyDescent="0.2">
      <c r="A39" s="320">
        <f>'Budgets LR'!$D$41-6</f>
        <v>2011</v>
      </c>
      <c r="B39" s="416"/>
      <c r="C39" s="336">
        <v>0</v>
      </c>
      <c r="D39" s="69" t="str">
        <f>"ord. Abschr. BF "&amp;A39&amp; " in den Jahren "&amp;A45+1&amp;" bis "&amp;A40+9</f>
        <v>ord. Abschr. BF 2011 in den Jahren 2018 bis 2021</v>
      </c>
      <c r="E39" s="11"/>
      <c r="F39" s="11"/>
      <c r="G39" s="11"/>
      <c r="H39" s="11"/>
      <c r="I39" s="11"/>
      <c r="J39" s="8">
        <f t="shared" si="1"/>
        <v>0</v>
      </c>
      <c r="K39" s="327">
        <f t="shared" si="0"/>
        <v>0</v>
      </c>
      <c r="L39" s="5"/>
      <c r="M39" s="5"/>
      <c r="N39" s="5"/>
      <c r="O39" s="5"/>
      <c r="P39" s="5"/>
      <c r="Q39" s="5"/>
    </row>
    <row r="40" spans="1:17" ht="14.25" customHeight="1" x14ac:dyDescent="0.2">
      <c r="A40" s="320">
        <f>'Budgets LR'!$D$41-5</f>
        <v>2012</v>
      </c>
      <c r="B40" s="416"/>
      <c r="C40" s="336">
        <v>0</v>
      </c>
      <c r="D40" s="69" t="str">
        <f>"ord. Abschr. BF "&amp;A40&amp; " in den Jahren "&amp;A45+1&amp;" bis "&amp;A41+9</f>
        <v>ord. Abschr. BF 2012 in den Jahren 2018 bis 2022</v>
      </c>
      <c r="E40" s="11"/>
      <c r="F40" s="11"/>
      <c r="G40" s="11"/>
      <c r="H40" s="11"/>
      <c r="I40" s="11"/>
      <c r="J40" s="8">
        <f t="shared" si="1"/>
        <v>0</v>
      </c>
      <c r="K40" s="327">
        <f t="shared" si="0"/>
        <v>0</v>
      </c>
      <c r="L40" s="5"/>
      <c r="M40" s="5"/>
      <c r="N40" s="5"/>
      <c r="O40" s="5"/>
      <c r="P40" s="5"/>
      <c r="Q40" s="5"/>
    </row>
    <row r="41" spans="1:17" ht="14.25" customHeight="1" x14ac:dyDescent="0.2">
      <c r="A41" s="320">
        <f>'Budgets LR'!$D$41-4</f>
        <v>2013</v>
      </c>
      <c r="B41" s="416"/>
      <c r="C41" s="336">
        <v>0</v>
      </c>
      <c r="D41" s="69" t="str">
        <f>"ord. Abschr. BF "&amp;A41&amp; " in den Jahren "&amp;A45+1&amp;" bis "&amp;A42+9</f>
        <v>ord. Abschr. BF 2013 in den Jahren 2018 bis 2023</v>
      </c>
      <c r="E41" s="11"/>
      <c r="F41" s="11"/>
      <c r="G41" s="11"/>
      <c r="H41" s="11"/>
      <c r="I41" s="11"/>
      <c r="J41" s="8">
        <f t="shared" si="1"/>
        <v>0</v>
      </c>
      <c r="K41" s="327">
        <f t="shared" si="0"/>
        <v>0</v>
      </c>
      <c r="L41" s="5"/>
      <c r="M41" s="5"/>
      <c r="N41" s="5"/>
      <c r="O41" s="5"/>
      <c r="P41" s="5"/>
      <c r="Q41" s="5"/>
    </row>
    <row r="42" spans="1:17" ht="14.25" customHeight="1" x14ac:dyDescent="0.2">
      <c r="A42" s="320">
        <f>'Budgets LR'!$D$41-3</f>
        <v>2014</v>
      </c>
      <c r="B42" s="416"/>
      <c r="C42" s="336">
        <v>0</v>
      </c>
      <c r="D42" s="69" t="str">
        <f>"ord. Abschr. BF "&amp;A42&amp; " in den Jahren "&amp;A45+1&amp;" bis "&amp;A43+9</f>
        <v>ord. Abschr. BF 2014 in den Jahren 2018 bis 2024</v>
      </c>
      <c r="E42" s="11"/>
      <c r="F42" s="11"/>
      <c r="G42" s="11"/>
      <c r="H42" s="11"/>
      <c r="I42" s="11"/>
      <c r="J42" s="8">
        <f t="shared" si="1"/>
        <v>0</v>
      </c>
      <c r="K42" s="327">
        <f t="shared" si="0"/>
        <v>0</v>
      </c>
      <c r="L42" s="5"/>
      <c r="M42" s="5"/>
      <c r="N42" s="5"/>
      <c r="O42" s="5"/>
      <c r="P42" s="5"/>
      <c r="Q42" s="5"/>
    </row>
    <row r="43" spans="1:17" ht="14.25" customHeight="1" x14ac:dyDescent="0.2">
      <c r="A43" s="320">
        <f>'Budgets LR'!$D$41-2</f>
        <v>2015</v>
      </c>
      <c r="B43" s="416"/>
      <c r="C43" s="336">
        <v>0</v>
      </c>
      <c r="D43" s="69" t="str">
        <f>"ord. Abschr. BF "&amp;A43&amp; " in den Jahren "&amp;A45+1&amp;" bis "&amp;A44+9</f>
        <v>ord. Abschr. BF 2015 in den Jahren 2018 bis 2025</v>
      </c>
      <c r="E43" s="11"/>
      <c r="F43" s="11"/>
      <c r="G43" s="11"/>
      <c r="H43" s="11"/>
      <c r="I43" s="11"/>
      <c r="J43" s="8">
        <f t="shared" si="1"/>
        <v>0</v>
      </c>
      <c r="K43" s="327">
        <f t="shared" si="0"/>
        <v>0</v>
      </c>
      <c r="L43" s="5"/>
      <c r="M43" s="5"/>
      <c r="N43" s="5"/>
      <c r="O43" s="5"/>
      <c r="P43" s="5"/>
      <c r="Q43" s="5"/>
    </row>
    <row r="44" spans="1:17" ht="15" customHeight="1" x14ac:dyDescent="0.2">
      <c r="A44" s="320">
        <f>'Budgets LR'!$D$41-1</f>
        <v>2016</v>
      </c>
      <c r="B44" s="416"/>
      <c r="C44" s="336">
        <v>0</v>
      </c>
      <c r="D44" s="69" t="str">
        <f>"ord. Abschr. BF "&amp;A44&amp; " in den Jahren "&amp;A45+1&amp;" bis "&amp;A44+10</f>
        <v>ord. Abschr. BF 2016 in den Jahren 2018 bis 2026</v>
      </c>
      <c r="E44" s="11"/>
      <c r="F44" s="11"/>
      <c r="G44" s="11"/>
      <c r="H44" s="11"/>
      <c r="I44" s="11"/>
      <c r="J44" s="8">
        <f t="shared" si="1"/>
        <v>0</v>
      </c>
      <c r="K44" s="327">
        <f t="shared" si="0"/>
        <v>0</v>
      </c>
      <c r="L44" s="5"/>
      <c r="M44" s="5"/>
      <c r="N44" s="5"/>
      <c r="O44" s="5"/>
      <c r="P44" s="5"/>
      <c r="Q44" s="5"/>
    </row>
    <row r="45" spans="1:17" ht="14.25" customHeight="1" x14ac:dyDescent="0.2">
      <c r="A45" s="320">
        <f>'Budgets LR'!$D$41</f>
        <v>2017</v>
      </c>
      <c r="B45" s="417"/>
      <c r="C45" s="336">
        <v>0</v>
      </c>
      <c r="D45" s="69" t="str">
        <f>"ord. Abschr. BF "&amp;A45&amp; " in den Jahren "&amp;A45+1&amp;" bis "&amp;A45+10</f>
        <v>ord. Abschr. BF 2017 in den Jahren 2018 bis 2027</v>
      </c>
      <c r="E45" s="11"/>
      <c r="F45" s="11"/>
      <c r="G45" s="11"/>
      <c r="H45" s="11"/>
      <c r="I45" s="11"/>
      <c r="J45" s="8">
        <f t="shared" si="1"/>
        <v>0</v>
      </c>
      <c r="K45" s="327">
        <f>C45/10</f>
        <v>0</v>
      </c>
      <c r="L45" s="5"/>
      <c r="M45" s="5"/>
      <c r="N45" s="5"/>
      <c r="O45" s="5"/>
      <c r="P45" s="5"/>
      <c r="Q45" s="5"/>
    </row>
    <row r="46" spans="1:17" x14ac:dyDescent="0.2">
      <c r="A46" s="322" t="str">
        <f>"ordentliche Abschreibungen "&amp;A45+1</f>
        <v>ordentliche Abschreibungen 2018</v>
      </c>
      <c r="B46" s="70"/>
      <c r="C46" s="70"/>
      <c r="D46" s="70"/>
      <c r="E46" s="70"/>
      <c r="F46" s="70"/>
      <c r="G46" s="70"/>
      <c r="H46" s="70"/>
      <c r="I46" s="70"/>
      <c r="J46" s="323">
        <f>SUM(J36:J45)</f>
        <v>0</v>
      </c>
      <c r="K46" s="311"/>
      <c r="L46" s="5"/>
      <c r="M46" s="5"/>
      <c r="N46" s="5"/>
      <c r="O46" s="5"/>
      <c r="P46" s="5"/>
      <c r="Q46" s="5"/>
    </row>
    <row r="47" spans="1:17" x14ac:dyDescent="0.2">
      <c r="A47" s="324" t="str">
        <f>"zusätzliche Abschreibungen auf dem Bilanzfehlbetrag beim Abschluss "&amp;E15</f>
        <v>zusätzliche Abschreibungen auf dem Bilanzfehlbetrag beim Abschluss 2018</v>
      </c>
      <c r="B47" s="72"/>
      <c r="C47" s="72"/>
      <c r="D47" s="72"/>
      <c r="E47" s="72"/>
      <c r="F47" s="72"/>
      <c r="G47" s="72"/>
      <c r="H47" s="72"/>
      <c r="I47" s="72"/>
      <c r="J47" s="325">
        <f>Zusammenfassung!E36</f>
        <v>0</v>
      </c>
      <c r="N47" s="5"/>
      <c r="O47" s="5"/>
      <c r="P47" s="5"/>
      <c r="Q47" s="5"/>
    </row>
    <row r="48" spans="1:17" s="311" customFormat="1" x14ac:dyDescent="0.2">
      <c r="C48" s="328"/>
      <c r="L48" s="5"/>
      <c r="M48" s="5"/>
      <c r="N48" s="5"/>
      <c r="O48" s="5"/>
      <c r="P48" s="5"/>
      <c r="Q48" s="5"/>
    </row>
    <row r="49" spans="1:17" x14ac:dyDescent="0.2">
      <c r="A49" s="312" t="str">
        <f>"Restsaldo der  aktivierten Aufwandüberschüsse aus den Jahren "&amp;A50&amp;" bis "&amp;A59&amp; " (nach Abschluss "&amp;A59 &amp; ")"</f>
        <v>Restsaldo der  aktivierten Aufwandüberschüsse aus den Jahren 2009 bis 2018 (nach Abschluss 2018)</v>
      </c>
      <c r="B49" s="314"/>
      <c r="C49" s="314"/>
      <c r="D49" s="314"/>
      <c r="E49" s="314"/>
      <c r="F49" s="313"/>
      <c r="G49" s="313"/>
      <c r="H49" s="313"/>
      <c r="I49" s="413" t="s">
        <v>85</v>
      </c>
      <c r="J49" s="414"/>
      <c r="K49" s="315" t="str">
        <f>"Saldo BF Ende "&amp;E15</f>
        <v>Saldo BF Ende 2018</v>
      </c>
      <c r="L49" s="316" t="str">
        <f>IF(Zusammenfassung!E43&lt;0,Zusammenfassung!E43*-1,"")</f>
        <v/>
      </c>
      <c r="M49" s="317"/>
      <c r="N49" s="5"/>
      <c r="O49" s="5"/>
      <c r="P49" s="5"/>
      <c r="Q49" s="5"/>
    </row>
    <row r="50" spans="1:17" x14ac:dyDescent="0.2">
      <c r="A50" s="319">
        <f>'Budgets LR'!$D$41-8</f>
        <v>2009</v>
      </c>
      <c r="B50" s="415">
        <f>F15</f>
        <v>2019</v>
      </c>
      <c r="C50" s="336">
        <v>0</v>
      </c>
      <c r="D50" s="91" t="str">
        <f>"ord. Abschr. BF "&amp;A50 &amp;" im Jahr "&amp;F15</f>
        <v>ord. Abschr. BF 2009 im Jahr 2019</v>
      </c>
      <c r="E50" s="3"/>
      <c r="F50" s="3"/>
      <c r="G50" s="3"/>
      <c r="H50" s="3"/>
      <c r="I50" s="3"/>
      <c r="J50" s="4">
        <f>IF(C50&gt;K50,K50,C50)</f>
        <v>0</v>
      </c>
      <c r="K50" s="326">
        <f>K37</f>
        <v>0</v>
      </c>
      <c r="L50" s="5"/>
      <c r="M50" s="5"/>
      <c r="N50" s="5"/>
      <c r="O50" s="5"/>
      <c r="P50" s="5"/>
      <c r="Q50" s="5"/>
    </row>
    <row r="51" spans="1:17" x14ac:dyDescent="0.2">
      <c r="A51" s="320">
        <f>'Budgets LR'!$D$41-7</f>
        <v>2010</v>
      </c>
      <c r="B51" s="416"/>
      <c r="C51" s="336">
        <v>0</v>
      </c>
      <c r="D51" s="69" t="str">
        <f>"ord. Abschr. BF "&amp;A51&amp; " in den Jahren "&amp;A59+2&amp;" bis "&amp;A52+10</f>
        <v>ord. Abschr. BF 2010 in den Jahren 2020 bis 2021</v>
      </c>
      <c r="E51" s="11"/>
      <c r="F51" s="11"/>
      <c r="G51" s="11"/>
      <c r="H51" s="11"/>
      <c r="I51" s="11"/>
      <c r="J51" s="13">
        <f t="shared" ref="J51:J59" si="2">IF(C51&gt;K51,K51,C51)</f>
        <v>0</v>
      </c>
      <c r="K51" s="327">
        <f>K38</f>
        <v>0</v>
      </c>
      <c r="L51" s="5"/>
      <c r="M51" s="5"/>
      <c r="N51" s="5"/>
      <c r="O51" s="5"/>
      <c r="P51" s="5"/>
      <c r="Q51" s="5"/>
    </row>
    <row r="52" spans="1:17" x14ac:dyDescent="0.2">
      <c r="A52" s="320">
        <f>'Budgets LR'!$D$41-6</f>
        <v>2011</v>
      </c>
      <c r="B52" s="416"/>
      <c r="C52" s="336">
        <v>0</v>
      </c>
      <c r="D52" s="69" t="str">
        <f>"ord. Abschr. BF "&amp;A52&amp; " in den Jahren "&amp;A59+2&amp;" bis "&amp;A53+10</f>
        <v>ord. Abschr. BF 2011 in den Jahren 2020 bis 2022</v>
      </c>
      <c r="E52" s="11"/>
      <c r="F52" s="11"/>
      <c r="G52" s="11"/>
      <c r="H52" s="11"/>
      <c r="I52" s="11"/>
      <c r="J52" s="13">
        <f t="shared" si="2"/>
        <v>0</v>
      </c>
      <c r="K52" s="327">
        <f>K39</f>
        <v>0</v>
      </c>
      <c r="L52" s="5"/>
      <c r="M52" s="5"/>
      <c r="N52" s="5"/>
      <c r="O52" s="5"/>
      <c r="P52" s="5"/>
      <c r="Q52" s="5"/>
    </row>
    <row r="53" spans="1:17" x14ac:dyDescent="0.2">
      <c r="A53" s="320">
        <f>'Budgets LR'!$D$41-5</f>
        <v>2012</v>
      </c>
      <c r="B53" s="416"/>
      <c r="C53" s="336">
        <v>0</v>
      </c>
      <c r="D53" s="69" t="str">
        <f>"ord. Abschr. BF "&amp;A53&amp; " in den Jahren "&amp;A59+2&amp;" bis "&amp;A54+10</f>
        <v>ord. Abschr. BF 2012 in den Jahren 2020 bis 2023</v>
      </c>
      <c r="E53" s="11"/>
      <c r="F53" s="11"/>
      <c r="G53" s="11"/>
      <c r="H53" s="11"/>
      <c r="I53" s="11"/>
      <c r="J53" s="13">
        <f t="shared" si="2"/>
        <v>0</v>
      </c>
      <c r="K53" s="327">
        <f t="shared" ref="K53:K58" si="3">K40</f>
        <v>0</v>
      </c>
      <c r="L53" s="5"/>
      <c r="M53" s="5"/>
      <c r="N53" s="5"/>
      <c r="O53" s="5"/>
      <c r="P53" s="5"/>
      <c r="Q53" s="5"/>
    </row>
    <row r="54" spans="1:17" x14ac:dyDescent="0.2">
      <c r="A54" s="320">
        <f>'Budgets LR'!$D$41-4</f>
        <v>2013</v>
      </c>
      <c r="B54" s="416"/>
      <c r="C54" s="336">
        <v>0</v>
      </c>
      <c r="D54" s="69" t="str">
        <f>"ord. Abschr. BF "&amp;A54&amp; " in den Jahren "&amp;A59+2&amp;" bis "&amp;A55+10</f>
        <v>ord. Abschr. BF 2013 in den Jahren 2020 bis 2024</v>
      </c>
      <c r="E54" s="11"/>
      <c r="F54" s="11"/>
      <c r="G54" s="11"/>
      <c r="H54" s="11"/>
      <c r="I54" s="11"/>
      <c r="J54" s="13">
        <f t="shared" si="2"/>
        <v>0</v>
      </c>
      <c r="K54" s="327">
        <f t="shared" si="3"/>
        <v>0</v>
      </c>
      <c r="L54" s="5"/>
      <c r="M54" s="5"/>
      <c r="N54" s="5"/>
      <c r="O54" s="5"/>
      <c r="P54" s="5"/>
      <c r="Q54" s="5"/>
    </row>
    <row r="55" spans="1:17" x14ac:dyDescent="0.2">
      <c r="A55" s="320">
        <f>'Budgets LR'!$D$41-3</f>
        <v>2014</v>
      </c>
      <c r="B55" s="416"/>
      <c r="C55" s="336">
        <v>0</v>
      </c>
      <c r="D55" s="69" t="str">
        <f>"ord. Abschr. BF "&amp;A55&amp; " in den Jahren "&amp;A59+2&amp;" bis "&amp;A56+10</f>
        <v>ord. Abschr. BF 2014 in den Jahren 2020 bis 2025</v>
      </c>
      <c r="E55" s="11"/>
      <c r="F55" s="11"/>
      <c r="G55" s="11"/>
      <c r="H55" s="11"/>
      <c r="I55" s="11"/>
      <c r="J55" s="13">
        <f t="shared" si="2"/>
        <v>0</v>
      </c>
      <c r="K55" s="327">
        <f t="shared" si="3"/>
        <v>0</v>
      </c>
      <c r="L55" s="5"/>
      <c r="M55" s="5"/>
      <c r="N55" s="5"/>
      <c r="O55" s="5"/>
      <c r="P55" s="5"/>
      <c r="Q55" s="5"/>
    </row>
    <row r="56" spans="1:17" x14ac:dyDescent="0.2">
      <c r="A56" s="320">
        <f>'Budgets LR'!$D$41-2</f>
        <v>2015</v>
      </c>
      <c r="B56" s="416"/>
      <c r="C56" s="336">
        <v>0</v>
      </c>
      <c r="D56" s="69" t="str">
        <f>"ord. Abschr. BF "&amp;A56&amp; " in den Jahren "&amp;A59+2&amp;" bis "&amp;A57+10</f>
        <v>ord. Abschr. BF 2015 in den Jahren 2020 bis 2026</v>
      </c>
      <c r="E56" s="11"/>
      <c r="F56" s="11"/>
      <c r="G56" s="11"/>
      <c r="H56" s="11"/>
      <c r="I56" s="11"/>
      <c r="J56" s="13">
        <f t="shared" si="2"/>
        <v>0</v>
      </c>
      <c r="K56" s="327">
        <f t="shared" si="3"/>
        <v>0</v>
      </c>
      <c r="L56" s="5"/>
      <c r="M56" s="5"/>
      <c r="N56" s="5"/>
      <c r="O56" s="5"/>
      <c r="P56" s="5"/>
      <c r="Q56" s="5"/>
    </row>
    <row r="57" spans="1:17" x14ac:dyDescent="0.2">
      <c r="A57" s="320">
        <f>'Budgets LR'!$D$41-1</f>
        <v>2016</v>
      </c>
      <c r="B57" s="416"/>
      <c r="C57" s="336">
        <v>0</v>
      </c>
      <c r="D57" s="69" t="str">
        <f>"ord. Abschr. BF "&amp;A57&amp; " in den Jahren "&amp;A59+2&amp;" bis "&amp;A58+9</f>
        <v>ord. Abschr. BF 2016 in den Jahren 2020 bis 2026</v>
      </c>
      <c r="E57" s="11"/>
      <c r="F57" s="11"/>
      <c r="G57" s="11"/>
      <c r="H57" s="11"/>
      <c r="I57" s="11"/>
      <c r="J57" s="13">
        <f t="shared" si="2"/>
        <v>0</v>
      </c>
      <c r="K57" s="327">
        <f t="shared" si="3"/>
        <v>0</v>
      </c>
      <c r="L57" s="5"/>
      <c r="M57" s="5"/>
      <c r="N57" s="5"/>
      <c r="O57" s="5"/>
      <c r="P57" s="5"/>
      <c r="Q57" s="5"/>
    </row>
    <row r="58" spans="1:17" x14ac:dyDescent="0.2">
      <c r="A58" s="320">
        <f>'Budgets LR'!$D$41</f>
        <v>2017</v>
      </c>
      <c r="B58" s="416"/>
      <c r="C58" s="336">
        <v>0</v>
      </c>
      <c r="D58" s="69" t="str">
        <f>"ord. Abschr. BF "&amp;A58&amp; " in den Jahren "&amp;A59+2&amp;" bis "&amp;A58+10</f>
        <v>ord. Abschr. BF 2017 in den Jahren 2020 bis 2027</v>
      </c>
      <c r="E58" s="11"/>
      <c r="F58" s="11"/>
      <c r="G58" s="11"/>
      <c r="H58" s="11"/>
      <c r="I58" s="11"/>
      <c r="J58" s="13">
        <f t="shared" si="2"/>
        <v>0</v>
      </c>
      <c r="K58" s="327">
        <f t="shared" si="3"/>
        <v>0</v>
      </c>
      <c r="L58" s="5"/>
      <c r="M58" s="5"/>
      <c r="N58" s="5"/>
      <c r="O58" s="5"/>
      <c r="P58" s="5"/>
      <c r="Q58" s="5"/>
    </row>
    <row r="59" spans="1:17" x14ac:dyDescent="0.2">
      <c r="A59" s="320">
        <f>'Budgets LR'!$D$41+1</f>
        <v>2018</v>
      </c>
      <c r="B59" s="417"/>
      <c r="C59" s="336">
        <v>0</v>
      </c>
      <c r="D59" s="69" t="str">
        <f>"ord. Abschr. BF "&amp;A59&amp; " in den Jahren "&amp;A59+2&amp;" bis "&amp;A59+10</f>
        <v>ord. Abschr. BF 2018 in den Jahren 2020 bis 2028</v>
      </c>
      <c r="E59" s="11"/>
      <c r="F59" s="11"/>
      <c r="G59" s="11"/>
      <c r="H59" s="11"/>
      <c r="I59" s="11"/>
      <c r="J59" s="18">
        <f t="shared" si="2"/>
        <v>0</v>
      </c>
      <c r="K59" s="327">
        <f>C59/10</f>
        <v>0</v>
      </c>
      <c r="L59" s="5"/>
      <c r="M59" s="5"/>
      <c r="N59" s="5"/>
      <c r="O59" s="5"/>
      <c r="P59" s="5"/>
      <c r="Q59" s="5"/>
    </row>
    <row r="60" spans="1:17" x14ac:dyDescent="0.2">
      <c r="A60" s="322" t="str">
        <f>"ordentliche Abschreibungen "&amp;A59+1</f>
        <v>ordentliche Abschreibungen 2019</v>
      </c>
      <c r="B60" s="70"/>
      <c r="C60" s="70"/>
      <c r="D60" s="70"/>
      <c r="E60" s="70"/>
      <c r="F60" s="70"/>
      <c r="G60" s="70"/>
      <c r="H60" s="70"/>
      <c r="I60" s="70"/>
      <c r="J60" s="323">
        <f>SUM(J50:J59)</f>
        <v>0</v>
      </c>
      <c r="L60" s="5"/>
      <c r="M60" s="5"/>
      <c r="N60" s="5"/>
      <c r="O60" s="5"/>
      <c r="P60" s="5"/>
      <c r="Q60" s="5"/>
    </row>
    <row r="61" spans="1:17" x14ac:dyDescent="0.2">
      <c r="A61" s="324" t="str">
        <f>"zusätzliche Abschreibungen auf dem Bilanzfehlbetrag beim Abschluss "&amp;F15</f>
        <v>zusätzliche Abschreibungen auf dem Bilanzfehlbetrag beim Abschluss 2019</v>
      </c>
      <c r="B61" s="72"/>
      <c r="C61" s="72"/>
      <c r="D61" s="72"/>
      <c r="E61" s="72"/>
      <c r="F61" s="72"/>
      <c r="G61" s="72"/>
      <c r="H61" s="72"/>
      <c r="I61" s="72"/>
      <c r="J61" s="325">
        <f>Zusammenfassung!F36</f>
        <v>0</v>
      </c>
      <c r="N61" s="5"/>
      <c r="O61" s="5"/>
      <c r="P61" s="5"/>
      <c r="Q61" s="5"/>
    </row>
    <row r="62" spans="1:17" x14ac:dyDescent="0.2">
      <c r="L62" s="5"/>
      <c r="M62" s="5"/>
      <c r="N62" s="5"/>
      <c r="O62" s="5"/>
      <c r="P62" s="5"/>
      <c r="Q62" s="5"/>
    </row>
    <row r="63" spans="1:17" x14ac:dyDescent="0.2">
      <c r="A63" s="312" t="str">
        <f>"Restsaldo der  aktivierten Aufwandüberschüsse aus den Jahren "&amp;A64&amp;" bis "&amp;A73&amp; " (nach Abschluss "&amp;A73 &amp; ")"</f>
        <v>Restsaldo der  aktivierten Aufwandüberschüsse aus den Jahren 2010 bis 2019 (nach Abschluss 2019)</v>
      </c>
      <c r="B63" s="314"/>
      <c r="C63" s="314"/>
      <c r="D63" s="314"/>
      <c r="E63" s="314"/>
      <c r="F63" s="313"/>
      <c r="G63" s="313"/>
      <c r="H63" s="313"/>
      <c r="I63" s="413" t="s">
        <v>85</v>
      </c>
      <c r="J63" s="414"/>
      <c r="K63" s="315" t="str">
        <f>"Saldo BF Ende "&amp;F15</f>
        <v>Saldo BF Ende 2019</v>
      </c>
      <c r="L63" s="316" t="str">
        <f>IF(Zusammenfassung!F43&lt;0,Zusammenfassung!F43*-1,"")</f>
        <v/>
      </c>
      <c r="M63" s="317"/>
      <c r="N63" s="5"/>
      <c r="O63" s="5"/>
      <c r="P63" s="5"/>
      <c r="Q63" s="5"/>
    </row>
    <row r="64" spans="1:17" x14ac:dyDescent="0.2">
      <c r="A64" s="319">
        <f>'Budgets LR'!$D$41-7</f>
        <v>2010</v>
      </c>
      <c r="B64" s="415">
        <f>G15</f>
        <v>2020</v>
      </c>
      <c r="C64" s="336">
        <v>0</v>
      </c>
      <c r="D64" s="91" t="str">
        <f>"ord. Abschr. BF "&amp;A64 &amp;" im Jahr "&amp;G15</f>
        <v>ord. Abschr. BF 2010 im Jahr 2020</v>
      </c>
      <c r="E64" s="3"/>
      <c r="F64" s="3"/>
      <c r="G64" s="3"/>
      <c r="H64" s="3"/>
      <c r="I64" s="3"/>
      <c r="J64" s="4">
        <f>IF(C64&gt;K64,K64,C64)</f>
        <v>0</v>
      </c>
      <c r="K64" s="326">
        <f t="shared" ref="K64:K72" si="4">K51</f>
        <v>0</v>
      </c>
      <c r="L64" s="5"/>
      <c r="M64" s="5"/>
      <c r="N64" s="5"/>
      <c r="O64" s="5"/>
      <c r="P64" s="5"/>
      <c r="Q64" s="5"/>
    </row>
    <row r="65" spans="1:17" x14ac:dyDescent="0.2">
      <c r="A65" s="320">
        <f>'Budgets LR'!$D$41-6</f>
        <v>2011</v>
      </c>
      <c r="B65" s="416"/>
      <c r="C65" s="336">
        <v>0</v>
      </c>
      <c r="D65" s="69" t="str">
        <f>"ord. Abschr. BF "&amp;A65&amp; " in den Jahren "&amp;A73+2&amp;" bis "&amp;A66+10</f>
        <v>ord. Abschr. BF 2011 in den Jahren 2021 bis 2022</v>
      </c>
      <c r="E65" s="11"/>
      <c r="F65" s="11"/>
      <c r="G65" s="11"/>
      <c r="H65" s="11"/>
      <c r="I65" s="11"/>
      <c r="J65" s="13">
        <f t="shared" ref="J65:J73" si="5">IF(C65&gt;K65,K65,C65)</f>
        <v>0</v>
      </c>
      <c r="K65" s="327">
        <f t="shared" si="4"/>
        <v>0</v>
      </c>
      <c r="L65" s="5"/>
      <c r="M65" s="5"/>
      <c r="N65" s="5"/>
      <c r="O65" s="5"/>
      <c r="P65" s="5"/>
      <c r="Q65" s="5"/>
    </row>
    <row r="66" spans="1:17" x14ac:dyDescent="0.2">
      <c r="A66" s="320">
        <f>'Budgets LR'!$D$41-5</f>
        <v>2012</v>
      </c>
      <c r="B66" s="416"/>
      <c r="C66" s="336">
        <v>0</v>
      </c>
      <c r="D66" s="69" t="str">
        <f>"ord. Abschr. BF "&amp;A66&amp; " in den Jahren "&amp;A73+2&amp;" bis "&amp;A67+10</f>
        <v>ord. Abschr. BF 2012 in den Jahren 2021 bis 2023</v>
      </c>
      <c r="E66" s="11"/>
      <c r="F66" s="11"/>
      <c r="G66" s="11"/>
      <c r="H66" s="11"/>
      <c r="I66" s="11"/>
      <c r="J66" s="13">
        <f t="shared" si="5"/>
        <v>0</v>
      </c>
      <c r="K66" s="327">
        <f t="shared" si="4"/>
        <v>0</v>
      </c>
      <c r="L66" s="5"/>
      <c r="M66" s="5"/>
      <c r="N66" s="5"/>
      <c r="O66" s="5"/>
      <c r="P66" s="5"/>
      <c r="Q66" s="5"/>
    </row>
    <row r="67" spans="1:17" x14ac:dyDescent="0.2">
      <c r="A67" s="320">
        <f>'Budgets LR'!$D$41-4</f>
        <v>2013</v>
      </c>
      <c r="B67" s="416"/>
      <c r="C67" s="336">
        <v>0</v>
      </c>
      <c r="D67" s="69" t="str">
        <f>"ord. Abschr. BF "&amp;A67&amp; " in den Jahren "&amp;A73+2&amp;" bis "&amp;A68+10</f>
        <v>ord. Abschr. BF 2013 in den Jahren 2021 bis 2024</v>
      </c>
      <c r="E67" s="11"/>
      <c r="F67" s="11"/>
      <c r="G67" s="11"/>
      <c r="H67" s="11"/>
      <c r="I67" s="11"/>
      <c r="J67" s="13">
        <f t="shared" si="5"/>
        <v>0</v>
      </c>
      <c r="K67" s="327">
        <f t="shared" si="4"/>
        <v>0</v>
      </c>
      <c r="L67" s="5"/>
      <c r="M67" s="5"/>
      <c r="N67" s="5"/>
      <c r="O67" s="5"/>
      <c r="P67" s="5"/>
      <c r="Q67" s="5"/>
    </row>
    <row r="68" spans="1:17" x14ac:dyDescent="0.2">
      <c r="A68" s="320">
        <f>'Budgets LR'!$D$41-3</f>
        <v>2014</v>
      </c>
      <c r="B68" s="416"/>
      <c r="C68" s="336">
        <v>0</v>
      </c>
      <c r="D68" s="69" t="str">
        <f>"ord. Abschr. BF "&amp;A68&amp; " in den Jahren "&amp;A73+2&amp;" bis "&amp;A69+10</f>
        <v>ord. Abschr. BF 2014 in den Jahren 2021 bis 2025</v>
      </c>
      <c r="E68" s="11"/>
      <c r="F68" s="11"/>
      <c r="G68" s="11"/>
      <c r="H68" s="11"/>
      <c r="I68" s="11"/>
      <c r="J68" s="13">
        <f t="shared" si="5"/>
        <v>0</v>
      </c>
      <c r="K68" s="327">
        <f t="shared" si="4"/>
        <v>0</v>
      </c>
      <c r="L68" s="5"/>
      <c r="M68" s="5"/>
      <c r="N68" s="5"/>
      <c r="O68" s="5"/>
      <c r="P68" s="5"/>
      <c r="Q68" s="5"/>
    </row>
    <row r="69" spans="1:17" x14ac:dyDescent="0.2">
      <c r="A69" s="320">
        <f>'Budgets LR'!$D$41-2</f>
        <v>2015</v>
      </c>
      <c r="B69" s="416"/>
      <c r="C69" s="336">
        <v>0</v>
      </c>
      <c r="D69" s="69" t="str">
        <f>"ord. Abschr. BF "&amp;A69&amp; " in den Jahren "&amp;A73+2&amp;" bis "&amp;A70+10</f>
        <v>ord. Abschr. BF 2015 in den Jahren 2021 bis 2026</v>
      </c>
      <c r="E69" s="11"/>
      <c r="F69" s="11"/>
      <c r="G69" s="11"/>
      <c r="H69" s="11"/>
      <c r="I69" s="11"/>
      <c r="J69" s="13">
        <f t="shared" si="5"/>
        <v>0</v>
      </c>
      <c r="K69" s="327">
        <f t="shared" si="4"/>
        <v>0</v>
      </c>
      <c r="L69" s="5"/>
      <c r="M69" s="5"/>
      <c r="N69" s="5"/>
      <c r="O69" s="5"/>
      <c r="P69" s="5"/>
      <c r="Q69" s="5"/>
    </row>
    <row r="70" spans="1:17" x14ac:dyDescent="0.2">
      <c r="A70" s="320">
        <f>'Budgets LR'!$D$41-1</f>
        <v>2016</v>
      </c>
      <c r="B70" s="416"/>
      <c r="C70" s="336">
        <v>0</v>
      </c>
      <c r="D70" s="69" t="str">
        <f>"ord. Abschr. BF "&amp;A70&amp; " in den Jahren "&amp;A73+2&amp;" bis "&amp;A71+10</f>
        <v>ord. Abschr. BF 2016 in den Jahren 2021 bis 2027</v>
      </c>
      <c r="E70" s="11"/>
      <c r="F70" s="11"/>
      <c r="G70" s="11"/>
      <c r="H70" s="11"/>
      <c r="I70" s="11"/>
      <c r="J70" s="13">
        <f t="shared" si="5"/>
        <v>0</v>
      </c>
      <c r="K70" s="327">
        <f t="shared" si="4"/>
        <v>0</v>
      </c>
      <c r="L70" s="5"/>
      <c r="M70" s="5"/>
      <c r="N70" s="5"/>
      <c r="O70" s="5"/>
      <c r="P70" s="5"/>
      <c r="Q70" s="5"/>
    </row>
    <row r="71" spans="1:17" x14ac:dyDescent="0.2">
      <c r="A71" s="320">
        <f>'Budgets LR'!$D$41</f>
        <v>2017</v>
      </c>
      <c r="B71" s="416"/>
      <c r="C71" s="336">
        <v>0</v>
      </c>
      <c r="D71" s="69" t="str">
        <f>"ord. Abschr. BF "&amp;A71&amp; " in den Jahren "&amp;A73+2&amp;" bis "&amp;A72+9</f>
        <v>ord. Abschr. BF 2017 in den Jahren 2021 bis 2027</v>
      </c>
      <c r="E71" s="11"/>
      <c r="F71" s="11"/>
      <c r="G71" s="11"/>
      <c r="H71" s="11"/>
      <c r="I71" s="11"/>
      <c r="J71" s="13">
        <f t="shared" si="5"/>
        <v>0</v>
      </c>
      <c r="K71" s="327">
        <f t="shared" si="4"/>
        <v>0</v>
      </c>
      <c r="L71" s="5"/>
      <c r="M71" s="5"/>
      <c r="N71" s="5"/>
      <c r="O71" s="5"/>
      <c r="P71" s="5"/>
      <c r="Q71" s="5"/>
    </row>
    <row r="72" spans="1:17" x14ac:dyDescent="0.2">
      <c r="A72" s="320">
        <f>'Budgets LR'!$D$41+1</f>
        <v>2018</v>
      </c>
      <c r="B72" s="416"/>
      <c r="C72" s="336">
        <v>0</v>
      </c>
      <c r="D72" s="69" t="str">
        <f>"ord. Abschr. BF "&amp;A72&amp; " in den Jahren "&amp;A73+2&amp;" bis "&amp;A72+10</f>
        <v>ord. Abschr. BF 2018 in den Jahren 2021 bis 2028</v>
      </c>
      <c r="E72" s="11"/>
      <c r="F72" s="11"/>
      <c r="G72" s="11"/>
      <c r="H72" s="11"/>
      <c r="I72" s="11"/>
      <c r="J72" s="13">
        <f t="shared" si="5"/>
        <v>0</v>
      </c>
      <c r="K72" s="327">
        <f t="shared" si="4"/>
        <v>0</v>
      </c>
      <c r="L72" s="5"/>
      <c r="M72" s="5"/>
      <c r="N72" s="5"/>
      <c r="O72" s="5"/>
      <c r="P72" s="5"/>
      <c r="Q72" s="5"/>
    </row>
    <row r="73" spans="1:17" x14ac:dyDescent="0.2">
      <c r="A73" s="320">
        <f>'Budgets LR'!$D$41+2</f>
        <v>2019</v>
      </c>
      <c r="B73" s="417"/>
      <c r="C73" s="336">
        <v>0</v>
      </c>
      <c r="D73" s="69" t="str">
        <f>"ord. Abschr. BF "&amp;A73&amp; " in den Jahren "&amp;A73+2&amp;" bis "&amp;A73+10</f>
        <v>ord. Abschr. BF 2019 in den Jahren 2021 bis 2029</v>
      </c>
      <c r="E73" s="11"/>
      <c r="F73" s="11"/>
      <c r="G73" s="11"/>
      <c r="H73" s="11"/>
      <c r="I73" s="11"/>
      <c r="J73" s="18">
        <f t="shared" si="5"/>
        <v>0</v>
      </c>
      <c r="K73" s="327">
        <f>C73/10</f>
        <v>0</v>
      </c>
      <c r="L73" s="5"/>
      <c r="M73" s="5"/>
      <c r="N73" s="5"/>
      <c r="O73" s="5"/>
      <c r="P73" s="5"/>
      <c r="Q73" s="5"/>
    </row>
    <row r="74" spans="1:17" x14ac:dyDescent="0.2">
      <c r="A74" s="322" t="str">
        <f>"ordentliche Abschreibungen "&amp;A73+1</f>
        <v>ordentliche Abschreibungen 2020</v>
      </c>
      <c r="B74" s="70"/>
      <c r="C74" s="70"/>
      <c r="D74" s="70"/>
      <c r="E74" s="70"/>
      <c r="F74" s="70"/>
      <c r="G74" s="70"/>
      <c r="H74" s="70"/>
      <c r="I74" s="70"/>
      <c r="J74" s="323">
        <f>SUM(J64:J73)</f>
        <v>0</v>
      </c>
      <c r="L74" s="5"/>
      <c r="M74" s="5"/>
      <c r="N74" s="5"/>
      <c r="O74" s="5"/>
      <c r="P74" s="5"/>
      <c r="Q74" s="5"/>
    </row>
    <row r="75" spans="1:17" x14ac:dyDescent="0.2">
      <c r="A75" s="324" t="str">
        <f>"zusätzliche Abschreibungen auf dem Bilanzfehlbetrag beim Abschluss "&amp;G15</f>
        <v>zusätzliche Abschreibungen auf dem Bilanzfehlbetrag beim Abschluss 2020</v>
      </c>
      <c r="B75" s="72"/>
      <c r="C75" s="72"/>
      <c r="D75" s="72"/>
      <c r="E75" s="72"/>
      <c r="F75" s="72"/>
      <c r="G75" s="72"/>
      <c r="H75" s="72"/>
      <c r="I75" s="72"/>
      <c r="J75" s="325">
        <f>Zusammenfassung!G36</f>
        <v>0</v>
      </c>
      <c r="L75" s="5"/>
      <c r="M75" s="5"/>
      <c r="N75" s="5"/>
      <c r="O75" s="5"/>
      <c r="P75" s="5"/>
      <c r="Q75" s="5"/>
    </row>
    <row r="76" spans="1:17" s="333" customFormat="1" x14ac:dyDescent="0.2">
      <c r="A76" s="329"/>
      <c r="B76" s="330"/>
      <c r="C76" s="331"/>
      <c r="D76" s="332"/>
      <c r="E76" s="332"/>
      <c r="F76" s="332"/>
      <c r="G76" s="332"/>
      <c r="H76" s="332"/>
      <c r="I76" s="332"/>
      <c r="J76" s="332"/>
      <c r="L76" s="5"/>
      <c r="M76" s="5"/>
      <c r="N76" s="5"/>
      <c r="O76" s="5"/>
      <c r="P76" s="5"/>
      <c r="Q76" s="5"/>
    </row>
    <row r="77" spans="1:17" x14ac:dyDescent="0.2">
      <c r="A77" s="312" t="str">
        <f>"Restsaldo der  aktivierten Aufwandüberschüsse aus den Jahren "&amp;A78&amp;" bis "&amp;A87&amp; " (nach  Abschluss "&amp;A87 &amp; ")"</f>
        <v>Restsaldo der  aktivierten Aufwandüberschüsse aus den Jahren 2011 bis 2020 (nach  Abschluss 2020)</v>
      </c>
      <c r="B77" s="314"/>
      <c r="C77" s="314"/>
      <c r="D77" s="314"/>
      <c r="E77" s="314"/>
      <c r="F77" s="313"/>
      <c r="G77" s="313"/>
      <c r="H77" s="313"/>
      <c r="I77" s="413" t="s">
        <v>85</v>
      </c>
      <c r="J77" s="414"/>
      <c r="K77" s="315" t="str">
        <f>"Saldo BF Ende "&amp;G15</f>
        <v>Saldo BF Ende 2020</v>
      </c>
      <c r="L77" s="316">
        <f>IF(Zusammenfassung!G43&lt;0,Zusammenfassung!G43*-1,"")</f>
        <v>52</v>
      </c>
      <c r="M77" s="317"/>
      <c r="N77" s="5"/>
      <c r="O77" s="5"/>
      <c r="P77" s="5"/>
      <c r="Q77" s="5"/>
    </row>
    <row r="78" spans="1:17" x14ac:dyDescent="0.2">
      <c r="A78" s="319">
        <f>'Budgets LR'!$D$41-6</f>
        <v>2011</v>
      </c>
      <c r="B78" s="415">
        <f>H15</f>
        <v>2021</v>
      </c>
      <c r="C78" s="336">
        <v>0</v>
      </c>
      <c r="D78" s="91" t="str">
        <f>"ord. Abschr. BF "&amp;A78 &amp;" im Jahr "&amp;H15</f>
        <v>ord. Abschr. BF 2011 im Jahr 2021</v>
      </c>
      <c r="E78" s="3"/>
      <c r="F78" s="3"/>
      <c r="G78" s="3"/>
      <c r="H78" s="3"/>
      <c r="I78" s="3"/>
      <c r="J78" s="4">
        <f>IF(C78&gt;K78,K78,C78)</f>
        <v>0</v>
      </c>
      <c r="K78" s="326">
        <f t="shared" ref="K78:K86" si="6">K65</f>
        <v>0</v>
      </c>
      <c r="L78" s="5"/>
      <c r="M78" s="5"/>
      <c r="N78" s="5"/>
      <c r="O78" s="5"/>
      <c r="P78" s="5"/>
      <c r="Q78" s="5"/>
    </row>
    <row r="79" spans="1:17" x14ac:dyDescent="0.2">
      <c r="A79" s="320">
        <f>'Budgets LR'!$D$41-5</f>
        <v>2012</v>
      </c>
      <c r="B79" s="416"/>
      <c r="C79" s="336">
        <v>0</v>
      </c>
      <c r="D79" s="69" t="str">
        <f>"ord. Abschr. BF "&amp;A79&amp; " in den Jahren "&amp;A87+2&amp;" bis "&amp;A80+10</f>
        <v>ord. Abschr. BF 2012 in den Jahren 2022 bis 2023</v>
      </c>
      <c r="E79" s="11"/>
      <c r="F79" s="11"/>
      <c r="G79" s="11"/>
      <c r="H79" s="11"/>
      <c r="I79" s="11"/>
      <c r="J79" s="13">
        <f t="shared" ref="J79:J87" si="7">IF(C79&gt;K79,K79,C79)</f>
        <v>0</v>
      </c>
      <c r="K79" s="327">
        <f t="shared" si="6"/>
        <v>0</v>
      </c>
      <c r="L79" s="5"/>
      <c r="M79" s="5"/>
      <c r="N79" s="5"/>
      <c r="O79" s="5"/>
      <c r="P79" s="5"/>
      <c r="Q79" s="5"/>
    </row>
    <row r="80" spans="1:17" x14ac:dyDescent="0.2">
      <c r="A80" s="320">
        <f>'Budgets LR'!$D$41-4</f>
        <v>2013</v>
      </c>
      <c r="B80" s="416"/>
      <c r="C80" s="336">
        <v>0</v>
      </c>
      <c r="D80" s="69" t="str">
        <f>"ord. Abschr. BF "&amp;A80&amp; " in den Jahren "&amp;A87+2&amp;" bis "&amp;A81+10</f>
        <v>ord. Abschr. BF 2013 in den Jahren 2022 bis 2024</v>
      </c>
      <c r="E80" s="11"/>
      <c r="F80" s="11"/>
      <c r="G80" s="11"/>
      <c r="H80" s="11"/>
      <c r="I80" s="11"/>
      <c r="J80" s="13">
        <f t="shared" si="7"/>
        <v>0</v>
      </c>
      <c r="K80" s="327">
        <f t="shared" si="6"/>
        <v>0</v>
      </c>
      <c r="L80" s="5"/>
      <c r="M80" s="5"/>
      <c r="N80" s="5"/>
      <c r="O80" s="5"/>
      <c r="P80" s="5"/>
      <c r="Q80" s="5"/>
    </row>
    <row r="81" spans="1:17" x14ac:dyDescent="0.2">
      <c r="A81" s="320">
        <f>'Budgets LR'!$D$41-3</f>
        <v>2014</v>
      </c>
      <c r="B81" s="416"/>
      <c r="C81" s="336">
        <v>0</v>
      </c>
      <c r="D81" s="69" t="str">
        <f>"ord. Abschr. BF "&amp;A81&amp; " in den Jahren "&amp;A87+2&amp;" bis "&amp;A82+10</f>
        <v>ord. Abschr. BF 2014 in den Jahren 2022 bis 2025</v>
      </c>
      <c r="E81" s="11"/>
      <c r="F81" s="11"/>
      <c r="G81" s="11"/>
      <c r="H81" s="11"/>
      <c r="I81" s="11"/>
      <c r="J81" s="13">
        <f t="shared" si="7"/>
        <v>0</v>
      </c>
      <c r="K81" s="327">
        <f t="shared" si="6"/>
        <v>0</v>
      </c>
      <c r="L81" s="5"/>
      <c r="M81" s="5"/>
      <c r="N81" s="5"/>
      <c r="O81" s="5"/>
      <c r="P81" s="5"/>
      <c r="Q81" s="5"/>
    </row>
    <row r="82" spans="1:17" x14ac:dyDescent="0.2">
      <c r="A82" s="320">
        <f>'Budgets LR'!$D$41-2</f>
        <v>2015</v>
      </c>
      <c r="B82" s="416"/>
      <c r="C82" s="336">
        <v>0</v>
      </c>
      <c r="D82" s="69" t="str">
        <f>"ord. Abschr. BF "&amp;A82&amp; " in den Jahren "&amp;A87+2&amp;" bis "&amp;A83+10</f>
        <v>ord. Abschr. BF 2015 in den Jahren 2022 bis 2026</v>
      </c>
      <c r="E82" s="11"/>
      <c r="F82" s="11"/>
      <c r="G82" s="11"/>
      <c r="H82" s="11"/>
      <c r="I82" s="11"/>
      <c r="J82" s="13">
        <f t="shared" si="7"/>
        <v>0</v>
      </c>
      <c r="K82" s="327">
        <f t="shared" si="6"/>
        <v>0</v>
      </c>
      <c r="L82" s="5"/>
      <c r="M82" s="5"/>
      <c r="N82" s="5"/>
      <c r="O82" s="5"/>
      <c r="P82" s="5"/>
      <c r="Q82" s="5"/>
    </row>
    <row r="83" spans="1:17" x14ac:dyDescent="0.2">
      <c r="A83" s="320">
        <f>'Budgets LR'!$D$41-1</f>
        <v>2016</v>
      </c>
      <c r="B83" s="416"/>
      <c r="C83" s="336">
        <v>0</v>
      </c>
      <c r="D83" s="69" t="str">
        <f>"ord. Abschr. BF "&amp;A83&amp; " in den Jahren "&amp;A87+2&amp;" bis "&amp;A84+10</f>
        <v>ord. Abschr. BF 2016 in den Jahren 2022 bis 2027</v>
      </c>
      <c r="E83" s="11"/>
      <c r="F83" s="11"/>
      <c r="G83" s="11"/>
      <c r="H83" s="11"/>
      <c r="I83" s="11"/>
      <c r="J83" s="13">
        <f t="shared" si="7"/>
        <v>0</v>
      </c>
      <c r="K83" s="327">
        <f t="shared" si="6"/>
        <v>0</v>
      </c>
      <c r="L83" s="5"/>
      <c r="M83" s="5"/>
      <c r="N83" s="5"/>
      <c r="O83" s="5"/>
      <c r="P83" s="5"/>
      <c r="Q83" s="5"/>
    </row>
    <row r="84" spans="1:17" x14ac:dyDescent="0.2">
      <c r="A84" s="320">
        <f>'Budgets LR'!$D$41</f>
        <v>2017</v>
      </c>
      <c r="B84" s="416"/>
      <c r="C84" s="336">
        <v>0</v>
      </c>
      <c r="D84" s="69" t="str">
        <f>"ord. Abschr. BF "&amp;A84&amp; " in den Jahren "&amp;A87+2&amp;" bis "&amp;A85+10</f>
        <v>ord. Abschr. BF 2017 in den Jahren 2022 bis 2028</v>
      </c>
      <c r="E84" s="11"/>
      <c r="F84" s="11"/>
      <c r="G84" s="11"/>
      <c r="H84" s="11"/>
      <c r="I84" s="11"/>
      <c r="J84" s="13">
        <f t="shared" si="7"/>
        <v>0</v>
      </c>
      <c r="K84" s="327">
        <f t="shared" si="6"/>
        <v>0</v>
      </c>
      <c r="L84" s="5"/>
      <c r="M84" s="5"/>
      <c r="N84" s="5"/>
      <c r="O84" s="5"/>
      <c r="P84" s="5"/>
      <c r="Q84" s="5"/>
    </row>
    <row r="85" spans="1:17" x14ac:dyDescent="0.2">
      <c r="A85" s="320">
        <f>'Budgets LR'!$D$41+1</f>
        <v>2018</v>
      </c>
      <c r="B85" s="416"/>
      <c r="C85" s="336">
        <v>0</v>
      </c>
      <c r="D85" s="69" t="str">
        <f>"ord. Abschr. BF "&amp;A85&amp; " in den Jahren "&amp;A87+2&amp;" bis "&amp;A86+9</f>
        <v>ord. Abschr. BF 2018 in den Jahren 2022 bis 2028</v>
      </c>
      <c r="E85" s="11"/>
      <c r="F85" s="11"/>
      <c r="G85" s="11"/>
      <c r="H85" s="11"/>
      <c r="I85" s="11"/>
      <c r="J85" s="13">
        <f t="shared" si="7"/>
        <v>0</v>
      </c>
      <c r="K85" s="327">
        <f t="shared" si="6"/>
        <v>0</v>
      </c>
      <c r="L85" s="5"/>
      <c r="M85" s="5"/>
      <c r="N85" s="5"/>
      <c r="O85" s="5"/>
      <c r="P85" s="5"/>
      <c r="Q85" s="5"/>
    </row>
    <row r="86" spans="1:17" x14ac:dyDescent="0.2">
      <c r="A86" s="320">
        <f>'Budgets LR'!$D$41+2</f>
        <v>2019</v>
      </c>
      <c r="B86" s="416"/>
      <c r="C86" s="336">
        <v>0</v>
      </c>
      <c r="D86" s="69" t="str">
        <f>"ord. Abschr. BF "&amp;A86&amp; " in den Jahren "&amp;A87+2&amp;" bis "&amp;A86+10</f>
        <v>ord. Abschr. BF 2019 in den Jahren 2022 bis 2029</v>
      </c>
      <c r="E86" s="11"/>
      <c r="F86" s="11"/>
      <c r="G86" s="11"/>
      <c r="H86" s="11"/>
      <c r="I86" s="11"/>
      <c r="J86" s="13">
        <f t="shared" si="7"/>
        <v>0</v>
      </c>
      <c r="K86" s="327">
        <f t="shared" si="6"/>
        <v>0</v>
      </c>
      <c r="L86" s="5"/>
      <c r="M86" s="5"/>
      <c r="N86" s="5"/>
      <c r="O86" s="5"/>
      <c r="P86" s="5"/>
      <c r="Q86" s="5"/>
    </row>
    <row r="87" spans="1:17" x14ac:dyDescent="0.2">
      <c r="A87" s="320">
        <f>'Budgets LR'!$D$41+3</f>
        <v>2020</v>
      </c>
      <c r="B87" s="417"/>
      <c r="C87" s="336">
        <v>52</v>
      </c>
      <c r="D87" s="69" t="str">
        <f>"ord. Abschr. BF "&amp;A87&amp; " in den Jahren "&amp;A87+2&amp;" bis "&amp;A87+10</f>
        <v>ord. Abschr. BF 2020 in den Jahren 2022 bis 2030</v>
      </c>
      <c r="E87" s="11"/>
      <c r="F87" s="11"/>
      <c r="G87" s="11"/>
      <c r="H87" s="11"/>
      <c r="I87" s="11"/>
      <c r="J87" s="18">
        <f t="shared" si="7"/>
        <v>5.2</v>
      </c>
      <c r="K87" s="327">
        <f>C87/10</f>
        <v>5.2</v>
      </c>
      <c r="L87" s="5"/>
      <c r="M87" s="5"/>
      <c r="N87" s="5"/>
      <c r="O87" s="5"/>
      <c r="P87" s="5"/>
      <c r="Q87" s="5"/>
    </row>
    <row r="88" spans="1:17" x14ac:dyDescent="0.2">
      <c r="A88" s="322" t="str">
        <f>"ordentliche Abschreibungen "&amp;A87+1</f>
        <v>ordentliche Abschreibungen 2021</v>
      </c>
      <c r="B88" s="70"/>
      <c r="C88" s="70"/>
      <c r="D88" s="70"/>
      <c r="E88" s="70"/>
      <c r="F88" s="70"/>
      <c r="G88" s="70"/>
      <c r="H88" s="70"/>
      <c r="I88" s="70"/>
      <c r="J88" s="323">
        <f>SUM(J78:J87)</f>
        <v>5.2</v>
      </c>
      <c r="L88" s="5"/>
      <c r="M88" s="5"/>
      <c r="N88" s="5"/>
      <c r="O88" s="5"/>
      <c r="P88" s="5"/>
      <c r="Q88" s="5"/>
    </row>
    <row r="89" spans="1:17" x14ac:dyDescent="0.2">
      <c r="A89" s="324" t="str">
        <f>"zusätzliche Abschreibungen auf dem Bilanzfehlbetrag beim Abschluss "&amp;H15</f>
        <v>zusätzliche Abschreibungen auf dem Bilanzfehlbetrag beim Abschluss 2021</v>
      </c>
      <c r="B89" s="72"/>
      <c r="C89" s="72"/>
      <c r="D89" s="72"/>
      <c r="E89" s="72"/>
      <c r="F89" s="72"/>
      <c r="G89" s="72"/>
      <c r="H89" s="72"/>
      <c r="I89" s="72"/>
      <c r="J89" s="325">
        <f>Zusammenfassung!H36</f>
        <v>47</v>
      </c>
      <c r="L89" s="5"/>
      <c r="M89" s="5"/>
      <c r="N89" s="5"/>
      <c r="O89" s="5"/>
      <c r="P89" s="5"/>
      <c r="Q89" s="5"/>
    </row>
    <row r="90" spans="1:17" x14ac:dyDescent="0.2">
      <c r="L90" s="5"/>
      <c r="M90" s="5"/>
      <c r="N90" s="5"/>
      <c r="O90" s="5"/>
      <c r="P90" s="5"/>
      <c r="Q90" s="5"/>
    </row>
    <row r="91" spans="1:17" x14ac:dyDescent="0.2">
      <c r="A91" s="312" t="str">
        <f>"Restsaldo der  aktivierten Aufwandüberschüsse aus den Jahren "&amp;A92&amp;" bis "&amp;A101&amp; " (nach Abschluss "&amp;A101 &amp; ")"</f>
        <v>Restsaldo der  aktivierten Aufwandüberschüsse aus den Jahren 2012 bis 2021 (nach Abschluss 2021)</v>
      </c>
      <c r="B91" s="314"/>
      <c r="C91" s="314"/>
      <c r="D91" s="314"/>
      <c r="E91" s="314"/>
      <c r="F91" s="313"/>
      <c r="G91" s="313"/>
      <c r="H91" s="313"/>
      <c r="I91" s="413" t="s">
        <v>85</v>
      </c>
      <c r="J91" s="414"/>
      <c r="K91" s="315" t="str">
        <f>"Saldo BF Ende "&amp;H15</f>
        <v>Saldo BF Ende 2021</v>
      </c>
      <c r="L91" s="316" t="str">
        <f>IF(Zusammenfassung!H43&lt;0,Zusammenfassung!H43*-1,"")</f>
        <v/>
      </c>
      <c r="M91" s="317"/>
      <c r="N91" s="5"/>
      <c r="O91" s="5"/>
      <c r="P91" s="5"/>
      <c r="Q91" s="5"/>
    </row>
    <row r="92" spans="1:17" x14ac:dyDescent="0.2">
      <c r="A92" s="319">
        <f>'Budgets LR'!$D$41-5</f>
        <v>2012</v>
      </c>
      <c r="B92" s="415">
        <f>I15</f>
        <v>2022</v>
      </c>
      <c r="C92" s="336">
        <v>0</v>
      </c>
      <c r="D92" s="91" t="str">
        <f>"ord. Abschr. BF "&amp;A92 &amp;" im Jahr "&amp;I15</f>
        <v>ord. Abschr. BF 2012 im Jahr 2022</v>
      </c>
      <c r="E92" s="3"/>
      <c r="F92" s="3"/>
      <c r="G92" s="3"/>
      <c r="H92" s="3"/>
      <c r="I92" s="3"/>
      <c r="J92" s="4">
        <f>IF(C92&gt;K92,K92,C92)</f>
        <v>0</v>
      </c>
      <c r="K92" s="326">
        <f t="shared" ref="K92:K100" si="8">K79</f>
        <v>0</v>
      </c>
      <c r="L92" s="5"/>
      <c r="M92" s="5"/>
      <c r="N92" s="5"/>
      <c r="O92" s="5"/>
      <c r="P92" s="5"/>
      <c r="Q92" s="5"/>
    </row>
    <row r="93" spans="1:17" x14ac:dyDescent="0.2">
      <c r="A93" s="320">
        <f>'Budgets LR'!$D$41-4</f>
        <v>2013</v>
      </c>
      <c r="B93" s="416"/>
      <c r="C93" s="336">
        <v>0</v>
      </c>
      <c r="D93" s="69" t="str">
        <f>"ord. Abschr. BF "&amp;A93&amp; " in den Jahren "&amp;A101+2&amp;" bis "&amp;A94+10</f>
        <v>ord. Abschr. BF 2013 in den Jahren 2023 bis 2024</v>
      </c>
      <c r="E93" s="11"/>
      <c r="F93" s="11"/>
      <c r="G93" s="11"/>
      <c r="H93" s="11"/>
      <c r="I93" s="11"/>
      <c r="J93" s="13">
        <f t="shared" ref="J93:J101" si="9">IF(C93&gt;K93,K93,C93)</f>
        <v>0</v>
      </c>
      <c r="K93" s="327">
        <f t="shared" si="8"/>
        <v>0</v>
      </c>
      <c r="L93" s="5"/>
      <c r="M93" s="5"/>
      <c r="N93" s="5"/>
      <c r="O93" s="5"/>
      <c r="P93" s="5"/>
      <c r="Q93" s="5"/>
    </row>
    <row r="94" spans="1:17" x14ac:dyDescent="0.2">
      <c r="A94" s="320">
        <f>'Budgets LR'!$D$41-3</f>
        <v>2014</v>
      </c>
      <c r="B94" s="416"/>
      <c r="C94" s="336">
        <v>0</v>
      </c>
      <c r="D94" s="69" t="str">
        <f>"ord. Abschr. BF "&amp;A94&amp; " in den Jahren "&amp;A101+2&amp;" bis "&amp;A95+10</f>
        <v>ord. Abschr. BF 2014 in den Jahren 2023 bis 2025</v>
      </c>
      <c r="E94" s="11"/>
      <c r="F94" s="11"/>
      <c r="G94" s="11"/>
      <c r="H94" s="11"/>
      <c r="I94" s="11"/>
      <c r="J94" s="13">
        <f t="shared" si="9"/>
        <v>0</v>
      </c>
      <c r="K94" s="327">
        <f t="shared" si="8"/>
        <v>0</v>
      </c>
      <c r="L94" s="5"/>
      <c r="M94" s="5"/>
      <c r="N94" s="5"/>
      <c r="O94" s="5"/>
      <c r="P94" s="5"/>
      <c r="Q94" s="5"/>
    </row>
    <row r="95" spans="1:17" x14ac:dyDescent="0.2">
      <c r="A95" s="320">
        <f>'Budgets LR'!$D$41-2</f>
        <v>2015</v>
      </c>
      <c r="B95" s="416"/>
      <c r="C95" s="336">
        <v>0</v>
      </c>
      <c r="D95" s="69" t="str">
        <f>"ord. Abschr. BF "&amp;A95&amp; " in den Jahren "&amp;A101+2&amp;" bis "&amp;A96+10</f>
        <v>ord. Abschr. BF 2015 in den Jahren 2023 bis 2026</v>
      </c>
      <c r="E95" s="11"/>
      <c r="F95" s="11"/>
      <c r="G95" s="11"/>
      <c r="H95" s="11"/>
      <c r="I95" s="11"/>
      <c r="J95" s="13">
        <f t="shared" si="9"/>
        <v>0</v>
      </c>
      <c r="K95" s="327">
        <f t="shared" si="8"/>
        <v>0</v>
      </c>
      <c r="L95" s="5"/>
      <c r="M95" s="5"/>
      <c r="N95" s="5"/>
      <c r="O95" s="5"/>
      <c r="P95" s="5"/>
      <c r="Q95" s="5"/>
    </row>
    <row r="96" spans="1:17" x14ac:dyDescent="0.2">
      <c r="A96" s="320">
        <f>'Budgets LR'!$D$41-1</f>
        <v>2016</v>
      </c>
      <c r="B96" s="416"/>
      <c r="C96" s="336">
        <v>0</v>
      </c>
      <c r="D96" s="69" t="str">
        <f>"ord. Abschr. BF "&amp;A96&amp; " in den Jahren "&amp;A101+2&amp;" bis "&amp;A97+10</f>
        <v>ord. Abschr. BF 2016 in den Jahren 2023 bis 2027</v>
      </c>
      <c r="E96" s="11"/>
      <c r="F96" s="11"/>
      <c r="G96" s="11"/>
      <c r="H96" s="11"/>
      <c r="I96" s="11"/>
      <c r="J96" s="13">
        <f t="shared" si="9"/>
        <v>0</v>
      </c>
      <c r="K96" s="327">
        <f t="shared" si="8"/>
        <v>0</v>
      </c>
      <c r="L96" s="5"/>
      <c r="M96" s="5"/>
      <c r="N96" s="5"/>
      <c r="O96" s="5"/>
      <c r="P96" s="5"/>
      <c r="Q96" s="5"/>
    </row>
    <row r="97" spans="1:17" x14ac:dyDescent="0.2">
      <c r="A97" s="320">
        <f>'Budgets LR'!$D$41</f>
        <v>2017</v>
      </c>
      <c r="B97" s="416"/>
      <c r="C97" s="336">
        <v>0</v>
      </c>
      <c r="D97" s="69" t="str">
        <f>"ord. Abschr. BF "&amp;A97&amp; " in den Jahren "&amp;A101+2&amp;" bis "&amp;A98+10</f>
        <v>ord. Abschr. BF 2017 in den Jahren 2023 bis 2028</v>
      </c>
      <c r="E97" s="11"/>
      <c r="F97" s="11"/>
      <c r="G97" s="11"/>
      <c r="H97" s="11"/>
      <c r="I97" s="11"/>
      <c r="J97" s="13">
        <f t="shared" si="9"/>
        <v>0</v>
      </c>
      <c r="K97" s="327">
        <f t="shared" si="8"/>
        <v>0</v>
      </c>
      <c r="L97" s="5"/>
      <c r="M97" s="5"/>
      <c r="N97" s="5"/>
      <c r="O97" s="5"/>
      <c r="P97" s="5"/>
      <c r="Q97" s="5"/>
    </row>
    <row r="98" spans="1:17" x14ac:dyDescent="0.2">
      <c r="A98" s="320">
        <f>'Budgets LR'!$D$41+1</f>
        <v>2018</v>
      </c>
      <c r="B98" s="416"/>
      <c r="C98" s="336">
        <v>0</v>
      </c>
      <c r="D98" s="69" t="str">
        <f>"ord. Abschr. BF "&amp;A98&amp; " in den Jahren "&amp;A101+2&amp;" bis "&amp;A99+10</f>
        <v>ord. Abschr. BF 2018 in den Jahren 2023 bis 2029</v>
      </c>
      <c r="E98" s="11"/>
      <c r="F98" s="11"/>
      <c r="G98" s="11"/>
      <c r="H98" s="11"/>
      <c r="I98" s="11"/>
      <c r="J98" s="13">
        <f t="shared" si="9"/>
        <v>0</v>
      </c>
      <c r="K98" s="327">
        <f t="shared" si="8"/>
        <v>0</v>
      </c>
      <c r="L98" s="5"/>
      <c r="M98" s="5"/>
      <c r="N98" s="5"/>
      <c r="O98" s="5"/>
      <c r="P98" s="5"/>
      <c r="Q98" s="5"/>
    </row>
    <row r="99" spans="1:17" x14ac:dyDescent="0.2">
      <c r="A99" s="320">
        <f>'Budgets LR'!$D$41+2</f>
        <v>2019</v>
      </c>
      <c r="B99" s="416"/>
      <c r="C99" s="336">
        <v>0</v>
      </c>
      <c r="D99" s="69" t="str">
        <f>"ord. Abschr. BF "&amp;A99&amp; " in den Jahren "&amp;A101+2&amp;" bis "&amp;A100+9</f>
        <v>ord. Abschr. BF 2019 in den Jahren 2023 bis 2029</v>
      </c>
      <c r="E99" s="11"/>
      <c r="F99" s="11"/>
      <c r="G99" s="11"/>
      <c r="H99" s="11"/>
      <c r="I99" s="11"/>
      <c r="J99" s="13">
        <f t="shared" si="9"/>
        <v>0</v>
      </c>
      <c r="K99" s="327">
        <f t="shared" si="8"/>
        <v>0</v>
      </c>
      <c r="L99" s="5"/>
      <c r="M99" s="5"/>
      <c r="N99" s="5"/>
      <c r="O99" s="5"/>
      <c r="P99" s="5"/>
      <c r="Q99" s="5"/>
    </row>
    <row r="100" spans="1:17" x14ac:dyDescent="0.2">
      <c r="A100" s="320">
        <f>'Budgets LR'!$D$41+3</f>
        <v>2020</v>
      </c>
      <c r="B100" s="416"/>
      <c r="C100" s="336">
        <v>0</v>
      </c>
      <c r="D100" s="69" t="str">
        <f>"ord. Abschr. BF "&amp;A100&amp; " in den Jahren "&amp;A101+2&amp;" bis "&amp;A100+10</f>
        <v>ord. Abschr. BF 2020 in den Jahren 2023 bis 2030</v>
      </c>
      <c r="E100" s="11"/>
      <c r="F100" s="11"/>
      <c r="G100" s="11"/>
      <c r="H100" s="11"/>
      <c r="I100" s="11"/>
      <c r="J100" s="13">
        <f t="shared" si="9"/>
        <v>0</v>
      </c>
      <c r="K100" s="327">
        <f t="shared" si="8"/>
        <v>5.2</v>
      </c>
      <c r="L100" s="5"/>
      <c r="M100" s="5"/>
      <c r="N100" s="5"/>
      <c r="O100" s="5"/>
      <c r="P100" s="5"/>
      <c r="Q100" s="5"/>
    </row>
    <row r="101" spans="1:17" x14ac:dyDescent="0.2">
      <c r="A101" s="320">
        <f>'Budgets LR'!$D$41+4</f>
        <v>2021</v>
      </c>
      <c r="B101" s="417"/>
      <c r="C101" s="336">
        <v>0</v>
      </c>
      <c r="D101" s="69" t="str">
        <f>"ord. Abschr. BF "&amp;A101&amp; " in den Jahren "&amp;A101+2&amp;" bis "&amp;A101+10</f>
        <v>ord. Abschr. BF 2021 in den Jahren 2023 bis 2031</v>
      </c>
      <c r="E101" s="11"/>
      <c r="F101" s="11"/>
      <c r="G101" s="11"/>
      <c r="H101" s="11"/>
      <c r="I101" s="11"/>
      <c r="J101" s="18">
        <f t="shared" si="9"/>
        <v>0</v>
      </c>
      <c r="K101" s="327">
        <f>C101/10</f>
        <v>0</v>
      </c>
      <c r="L101" s="5"/>
      <c r="M101" s="5"/>
      <c r="N101" s="5"/>
      <c r="O101" s="5"/>
      <c r="P101" s="5"/>
      <c r="Q101" s="5"/>
    </row>
    <row r="102" spans="1:17" x14ac:dyDescent="0.2">
      <c r="A102" s="322" t="str">
        <f>"ordentliche Abschreibungen "&amp;A101+1</f>
        <v>ordentliche Abschreibungen 2022</v>
      </c>
      <c r="B102" s="70"/>
      <c r="C102" s="70"/>
      <c r="D102" s="70"/>
      <c r="E102" s="70"/>
      <c r="F102" s="70"/>
      <c r="G102" s="70"/>
      <c r="H102" s="70"/>
      <c r="I102" s="70"/>
      <c r="J102" s="323">
        <f>SUM(J92:J101)</f>
        <v>0</v>
      </c>
      <c r="L102" s="5"/>
      <c r="M102" s="5"/>
      <c r="N102" s="5"/>
      <c r="O102" s="5"/>
      <c r="P102" s="5"/>
      <c r="Q102" s="5"/>
    </row>
    <row r="103" spans="1:17" x14ac:dyDescent="0.2">
      <c r="A103" s="324" t="str">
        <f>"zusätzliche Abschreibungen auf dem Bilanzfehlbetrag beim Abschluss "&amp;I15</f>
        <v>zusätzliche Abschreibungen auf dem Bilanzfehlbetrag beim Abschluss 2022</v>
      </c>
      <c r="B103" s="72"/>
      <c r="C103" s="72"/>
      <c r="D103" s="72"/>
      <c r="E103" s="72"/>
      <c r="F103" s="72"/>
      <c r="G103" s="72"/>
      <c r="H103" s="72"/>
      <c r="I103" s="72"/>
      <c r="J103" s="325">
        <f>Zusammenfassung!I36</f>
        <v>0</v>
      </c>
      <c r="L103" s="5"/>
      <c r="M103" s="5"/>
      <c r="N103" s="5"/>
      <c r="O103" s="5"/>
      <c r="P103" s="5"/>
      <c r="Q103" s="5"/>
    </row>
    <row r="104" spans="1:17" x14ac:dyDescent="0.2">
      <c r="K104" s="321"/>
      <c r="L104" s="5"/>
      <c r="M104" s="5"/>
      <c r="N104" s="5"/>
      <c r="O104" s="5"/>
      <c r="P104" s="5"/>
      <c r="Q104" s="5"/>
    </row>
    <row r="105" spans="1:17" x14ac:dyDescent="0.2">
      <c r="A105" s="312" t="str">
        <f>"Restsaldo der  aktivierten Aufwandüberschüsse aus den Jahren "&amp;A106&amp;" bis "&amp;A115&amp; " (nach Abschluss "&amp;A115 &amp; ")"</f>
        <v>Restsaldo der  aktivierten Aufwandüberschüsse aus den Jahren 2013 bis 2022 (nach Abschluss 2022)</v>
      </c>
      <c r="B105" s="314"/>
      <c r="C105" s="314"/>
      <c r="D105" s="314"/>
      <c r="E105" s="314"/>
      <c r="F105" s="313"/>
      <c r="G105" s="313"/>
      <c r="H105" s="313"/>
      <c r="I105" s="413" t="s">
        <v>85</v>
      </c>
      <c r="J105" s="414"/>
      <c r="K105" s="315" t="str">
        <f>"Saldo BF Ende "&amp;I15</f>
        <v>Saldo BF Ende 2022</v>
      </c>
      <c r="L105" s="316" t="str">
        <f>IF(Zusammenfassung!I43&lt;0,Zusammenfassung!I43*-1,"")</f>
        <v/>
      </c>
      <c r="M105" s="317"/>
      <c r="N105" s="5"/>
      <c r="O105" s="5"/>
      <c r="P105" s="5"/>
      <c r="Q105" s="5"/>
    </row>
    <row r="106" spans="1:17" x14ac:dyDescent="0.2">
      <c r="A106" s="319">
        <f>'Budgets LR'!$D$41-4</f>
        <v>2013</v>
      </c>
      <c r="B106" s="415">
        <f>J15</f>
        <v>2023</v>
      </c>
      <c r="C106" s="336">
        <v>0</v>
      </c>
      <c r="D106" s="91" t="str">
        <f>"ord. Abschr. BF "&amp;A106 &amp;" im Jahr "&amp;I30</f>
        <v xml:space="preserve">ord. Abschr. BF 2013 im Jahr </v>
      </c>
      <c r="E106" s="3"/>
      <c r="F106" s="3"/>
      <c r="G106" s="3"/>
      <c r="H106" s="3"/>
      <c r="I106" s="3"/>
      <c r="J106" s="4">
        <f>IF(C106&gt;K106,K106,C106)</f>
        <v>0</v>
      </c>
      <c r="K106" s="326">
        <f t="shared" ref="K106:K114" si="10">K93</f>
        <v>0</v>
      </c>
      <c r="L106" s="5"/>
      <c r="M106" s="5"/>
      <c r="N106" s="5"/>
      <c r="O106" s="5"/>
      <c r="P106" s="5"/>
      <c r="Q106" s="5"/>
    </row>
    <row r="107" spans="1:17" x14ac:dyDescent="0.2">
      <c r="A107" s="320">
        <f>'Budgets LR'!$D$41-3</f>
        <v>2014</v>
      </c>
      <c r="B107" s="416"/>
      <c r="C107" s="336">
        <v>0</v>
      </c>
      <c r="D107" s="69" t="str">
        <f>"ord. Abschr. BF "&amp;A107&amp; " in den Jahren "&amp;A115+2&amp;" bis "&amp;A108+10</f>
        <v>ord. Abschr. BF 2014 in den Jahren 2024 bis 2025</v>
      </c>
      <c r="E107" s="11"/>
      <c r="F107" s="11"/>
      <c r="G107" s="11"/>
      <c r="H107" s="11"/>
      <c r="I107" s="11"/>
      <c r="J107" s="13">
        <f t="shared" ref="J107:J115" si="11">IF(C107&gt;K107,K107,C107)</f>
        <v>0</v>
      </c>
      <c r="K107" s="327">
        <f t="shared" si="10"/>
        <v>0</v>
      </c>
      <c r="L107" s="5"/>
      <c r="M107" s="5"/>
      <c r="N107" s="5"/>
      <c r="O107" s="5"/>
      <c r="P107" s="5"/>
      <c r="Q107" s="5"/>
    </row>
    <row r="108" spans="1:17" x14ac:dyDescent="0.2">
      <c r="A108" s="320">
        <f>'Budgets LR'!$D$41-2</f>
        <v>2015</v>
      </c>
      <c r="B108" s="416"/>
      <c r="C108" s="336">
        <v>0</v>
      </c>
      <c r="D108" s="69" t="str">
        <f>"ord. Abschr. BF "&amp;A108&amp; " in den Jahren "&amp;A115+2&amp;" bis "&amp;A109+10</f>
        <v>ord. Abschr. BF 2015 in den Jahren 2024 bis 2026</v>
      </c>
      <c r="E108" s="11"/>
      <c r="F108" s="11"/>
      <c r="G108" s="11"/>
      <c r="H108" s="11"/>
      <c r="I108" s="11"/>
      <c r="J108" s="13">
        <f t="shared" si="11"/>
        <v>0</v>
      </c>
      <c r="K108" s="327">
        <f t="shared" si="10"/>
        <v>0</v>
      </c>
      <c r="L108" s="5"/>
      <c r="M108" s="5"/>
      <c r="N108" s="5"/>
      <c r="O108" s="5"/>
      <c r="P108" s="5"/>
      <c r="Q108" s="5"/>
    </row>
    <row r="109" spans="1:17" x14ac:dyDescent="0.2">
      <c r="A109" s="320">
        <f>'Budgets LR'!$D$41-1</f>
        <v>2016</v>
      </c>
      <c r="B109" s="416"/>
      <c r="C109" s="336">
        <v>0</v>
      </c>
      <c r="D109" s="69" t="str">
        <f>"ord. Abschr. BF "&amp;A109&amp; " in den Jahren "&amp;A115+2&amp;" bis "&amp;A110+10</f>
        <v>ord. Abschr. BF 2016 in den Jahren 2024 bis 2027</v>
      </c>
      <c r="E109" s="11"/>
      <c r="F109" s="11"/>
      <c r="G109" s="11"/>
      <c r="H109" s="11"/>
      <c r="I109" s="11"/>
      <c r="J109" s="13">
        <f t="shared" si="11"/>
        <v>0</v>
      </c>
      <c r="K109" s="327">
        <f t="shared" si="10"/>
        <v>0</v>
      </c>
      <c r="L109" s="5"/>
      <c r="M109" s="5"/>
      <c r="N109" s="5"/>
      <c r="O109" s="5"/>
      <c r="P109" s="5"/>
      <c r="Q109" s="5"/>
    </row>
    <row r="110" spans="1:17" x14ac:dyDescent="0.2">
      <c r="A110" s="320">
        <f>'Budgets LR'!$D$41-0</f>
        <v>2017</v>
      </c>
      <c r="B110" s="416"/>
      <c r="C110" s="336">
        <v>0</v>
      </c>
      <c r="D110" s="69" t="str">
        <f>"ord. Abschr. BF "&amp;A110&amp; " in den Jahren "&amp;A115+2&amp;" bis "&amp;A111+10</f>
        <v>ord. Abschr. BF 2017 in den Jahren 2024 bis 2028</v>
      </c>
      <c r="E110" s="11"/>
      <c r="F110" s="11"/>
      <c r="G110" s="11"/>
      <c r="H110" s="11"/>
      <c r="I110" s="11"/>
      <c r="J110" s="13">
        <f t="shared" si="11"/>
        <v>0</v>
      </c>
      <c r="K110" s="327">
        <f t="shared" si="10"/>
        <v>0</v>
      </c>
      <c r="L110" s="5"/>
      <c r="M110" s="5"/>
      <c r="N110" s="5"/>
      <c r="O110" s="5"/>
      <c r="P110" s="5"/>
      <c r="Q110" s="5"/>
    </row>
    <row r="111" spans="1:17" x14ac:dyDescent="0.2">
      <c r="A111" s="320">
        <f>'Budgets LR'!$D$41+1</f>
        <v>2018</v>
      </c>
      <c r="B111" s="416"/>
      <c r="C111" s="336">
        <v>0</v>
      </c>
      <c r="D111" s="69" t="str">
        <f>"ord. Abschr. BF "&amp;A111&amp; " in den Jahren "&amp;A115+2&amp;" bis "&amp;A112+10</f>
        <v>ord. Abschr. BF 2018 in den Jahren 2024 bis 2029</v>
      </c>
      <c r="E111" s="11"/>
      <c r="F111" s="11"/>
      <c r="G111" s="11"/>
      <c r="H111" s="11"/>
      <c r="I111" s="11"/>
      <c r="J111" s="13">
        <f t="shared" si="11"/>
        <v>0</v>
      </c>
      <c r="K111" s="327">
        <f t="shared" si="10"/>
        <v>0</v>
      </c>
      <c r="L111" s="5"/>
      <c r="M111" s="5"/>
      <c r="N111" s="5"/>
      <c r="O111" s="5"/>
      <c r="P111" s="5"/>
      <c r="Q111" s="5"/>
    </row>
    <row r="112" spans="1:17" x14ac:dyDescent="0.2">
      <c r="A112" s="320">
        <f>'Budgets LR'!$D$41+2</f>
        <v>2019</v>
      </c>
      <c r="B112" s="416"/>
      <c r="C112" s="336">
        <v>0</v>
      </c>
      <c r="D112" s="69" t="str">
        <f>"ord. Abschr. BF "&amp;A112&amp; " in den Jahren "&amp;A115+2&amp;" bis "&amp;A113+10</f>
        <v>ord. Abschr. BF 2019 in den Jahren 2024 bis 2030</v>
      </c>
      <c r="E112" s="11"/>
      <c r="F112" s="11"/>
      <c r="G112" s="11"/>
      <c r="H112" s="11"/>
      <c r="I112" s="11"/>
      <c r="J112" s="13">
        <f t="shared" si="11"/>
        <v>0</v>
      </c>
      <c r="K112" s="327">
        <f t="shared" si="10"/>
        <v>0</v>
      </c>
      <c r="L112" s="5"/>
      <c r="M112" s="5"/>
      <c r="N112" s="5"/>
      <c r="O112" s="5"/>
      <c r="P112" s="5"/>
      <c r="Q112" s="5"/>
    </row>
    <row r="113" spans="1:17" x14ac:dyDescent="0.2">
      <c r="A113" s="320">
        <f>'Budgets LR'!$D$41+3</f>
        <v>2020</v>
      </c>
      <c r="B113" s="416"/>
      <c r="C113" s="336">
        <f>C101-J101</f>
        <v>0</v>
      </c>
      <c r="D113" s="69" t="str">
        <f>"ord. Abschr. BF "&amp;A113&amp; " in den Jahren "&amp;A115+2&amp;" bis "&amp;A114+9</f>
        <v>ord. Abschr. BF 2020 in den Jahren 2024 bis 2030</v>
      </c>
      <c r="E113" s="11"/>
      <c r="F113" s="11"/>
      <c r="G113" s="11"/>
      <c r="H113" s="11"/>
      <c r="I113" s="11"/>
      <c r="J113" s="13">
        <f t="shared" si="11"/>
        <v>0</v>
      </c>
      <c r="K113" s="327">
        <f t="shared" si="10"/>
        <v>5.2</v>
      </c>
      <c r="L113" s="5"/>
      <c r="M113" s="5"/>
      <c r="N113" s="5"/>
      <c r="O113" s="5"/>
      <c r="P113" s="5"/>
      <c r="Q113" s="5"/>
    </row>
    <row r="114" spans="1:17" x14ac:dyDescent="0.2">
      <c r="A114" s="320">
        <f>'Budgets LR'!$D$41+4</f>
        <v>2021</v>
      </c>
      <c r="B114" s="416"/>
      <c r="C114" s="336">
        <v>0</v>
      </c>
      <c r="D114" s="69" t="str">
        <f>"ord. Abschr. BF "&amp;A114&amp; " in den Jahren "&amp;A115+2&amp;" bis "&amp;A114+10</f>
        <v>ord. Abschr. BF 2021 in den Jahren 2024 bis 2031</v>
      </c>
      <c r="E114" s="11"/>
      <c r="F114" s="11"/>
      <c r="G114" s="11"/>
      <c r="H114" s="11"/>
      <c r="I114" s="11"/>
      <c r="J114" s="13">
        <f t="shared" si="11"/>
        <v>0</v>
      </c>
      <c r="K114" s="327">
        <f t="shared" si="10"/>
        <v>0</v>
      </c>
      <c r="L114" s="5"/>
      <c r="M114" s="5"/>
      <c r="N114" s="5"/>
      <c r="O114" s="5"/>
      <c r="P114" s="5"/>
      <c r="Q114" s="5"/>
    </row>
    <row r="115" spans="1:17" x14ac:dyDescent="0.2">
      <c r="A115" s="320">
        <f>'Budgets LR'!$D$41+5</f>
        <v>2022</v>
      </c>
      <c r="B115" s="417"/>
      <c r="C115" s="336">
        <v>0</v>
      </c>
      <c r="D115" s="69" t="str">
        <f>"ord. Abschr. BF "&amp;A115&amp; " in den Jahren "&amp;A115+2&amp;" bis "&amp;A115+10</f>
        <v>ord. Abschr. BF 2022 in den Jahren 2024 bis 2032</v>
      </c>
      <c r="E115" s="11"/>
      <c r="F115" s="11"/>
      <c r="G115" s="11"/>
      <c r="H115" s="11"/>
      <c r="I115" s="11"/>
      <c r="J115" s="18">
        <f t="shared" si="11"/>
        <v>0</v>
      </c>
      <c r="K115" s="327">
        <f>C115/10</f>
        <v>0</v>
      </c>
      <c r="L115" s="5"/>
      <c r="M115" s="5"/>
      <c r="N115" s="5"/>
      <c r="O115" s="5"/>
      <c r="P115" s="5"/>
      <c r="Q115" s="5"/>
    </row>
    <row r="116" spans="1:17" x14ac:dyDescent="0.2">
      <c r="A116" s="322" t="str">
        <f>"ordentliche Abschreibungen "&amp;A115+1</f>
        <v>ordentliche Abschreibungen 2023</v>
      </c>
      <c r="B116" s="70"/>
      <c r="C116" s="70"/>
      <c r="D116" s="70"/>
      <c r="E116" s="70"/>
      <c r="F116" s="70"/>
      <c r="G116" s="70"/>
      <c r="H116" s="70"/>
      <c r="I116" s="70"/>
      <c r="J116" s="323">
        <f>SUM(J106:J115)</f>
        <v>0</v>
      </c>
      <c r="L116" s="5"/>
      <c r="M116" s="5"/>
      <c r="N116" s="5"/>
      <c r="O116" s="5"/>
      <c r="P116" s="5"/>
      <c r="Q116" s="5"/>
    </row>
    <row r="117" spans="1:17" x14ac:dyDescent="0.2">
      <c r="A117" s="324" t="str">
        <f>"zusätzliche Abschreibungen auf dem Bilanzfehlbetrag beim Abschluss "&amp;J15</f>
        <v>zusätzliche Abschreibungen auf dem Bilanzfehlbetrag beim Abschluss 2023</v>
      </c>
      <c r="B117" s="72"/>
      <c r="C117" s="72"/>
      <c r="D117" s="72"/>
      <c r="E117" s="72"/>
      <c r="F117" s="72"/>
      <c r="G117" s="72"/>
      <c r="H117" s="72"/>
      <c r="I117" s="72"/>
      <c r="J117" s="325">
        <f>Zusammenfassung!J36</f>
        <v>0</v>
      </c>
      <c r="L117" s="5"/>
      <c r="N117" s="5"/>
      <c r="O117" s="5"/>
      <c r="P117" s="5"/>
      <c r="Q117" s="5"/>
    </row>
    <row r="118" spans="1:17" x14ac:dyDescent="0.2">
      <c r="M118" s="5"/>
      <c r="N118" s="5"/>
      <c r="O118" s="5"/>
      <c r="P118" s="5"/>
      <c r="Q118" s="5"/>
    </row>
    <row r="119" spans="1:17" x14ac:dyDescent="0.2">
      <c r="K119" s="315" t="str">
        <f>"Saldo BF Ende "&amp;J15</f>
        <v>Saldo BF Ende 2023</v>
      </c>
      <c r="L119" s="316" t="str">
        <f>IF(Zusammenfassung!J43&lt;0,Zusammenfassung!J43*-1,"")</f>
        <v/>
      </c>
      <c r="M119" s="317"/>
      <c r="N119" s="5"/>
      <c r="O119" s="5"/>
      <c r="P119" s="5"/>
      <c r="Q119" s="5"/>
    </row>
    <row r="120" spans="1:17" x14ac:dyDescent="0.2">
      <c r="L120" s="5"/>
      <c r="M120" s="5"/>
      <c r="N120" s="5"/>
      <c r="O120" s="5"/>
      <c r="P120" s="5"/>
      <c r="Q120" s="5"/>
    </row>
    <row r="121" spans="1:17" x14ac:dyDescent="0.2">
      <c r="L121" s="5"/>
      <c r="M121" s="5"/>
      <c r="N121" s="5"/>
      <c r="O121" s="5"/>
      <c r="P121" s="5"/>
      <c r="Q121" s="5"/>
    </row>
    <row r="122" spans="1:17" x14ac:dyDescent="0.2">
      <c r="L122" s="5"/>
      <c r="M122" s="5"/>
      <c r="N122" s="5"/>
      <c r="O122" s="5"/>
      <c r="P122" s="5"/>
      <c r="Q122" s="5"/>
    </row>
    <row r="123" spans="1:17" x14ac:dyDescent="0.2">
      <c r="L123" s="5"/>
      <c r="M123" s="5"/>
      <c r="N123" s="5"/>
      <c r="O123" s="5"/>
      <c r="P123" s="5"/>
      <c r="Q123" s="5"/>
    </row>
    <row r="124" spans="1:17" x14ac:dyDescent="0.2">
      <c r="L124" s="5"/>
      <c r="M124" s="5"/>
      <c r="N124" s="5"/>
      <c r="O124" s="5"/>
      <c r="P124" s="5"/>
      <c r="Q124" s="5"/>
    </row>
    <row r="125" spans="1:17" x14ac:dyDescent="0.2">
      <c r="L125" s="5"/>
      <c r="M125" s="5"/>
      <c r="N125" s="5"/>
      <c r="O125" s="5"/>
      <c r="P125" s="5"/>
      <c r="Q125" s="5"/>
    </row>
    <row r="126" spans="1:17" x14ac:dyDescent="0.2">
      <c r="L126" s="5"/>
      <c r="M126" s="5"/>
      <c r="N126" s="5"/>
      <c r="O126" s="5"/>
      <c r="P126" s="5"/>
      <c r="Q126" s="5"/>
    </row>
    <row r="127" spans="1:17" x14ac:dyDescent="0.2">
      <c r="L127" s="5"/>
      <c r="M127" s="5"/>
      <c r="N127" s="5"/>
      <c r="O127" s="5"/>
      <c r="P127" s="5"/>
      <c r="Q127" s="5"/>
    </row>
    <row r="128" spans="1:17" x14ac:dyDescent="0.2">
      <c r="L128" s="5"/>
      <c r="M128" s="5"/>
      <c r="N128" s="5"/>
      <c r="O128" s="5"/>
      <c r="P128" s="5"/>
      <c r="Q128" s="5"/>
    </row>
    <row r="129" spans="12:17" x14ac:dyDescent="0.2">
      <c r="L129" s="5"/>
      <c r="M129" s="5"/>
      <c r="N129" s="5"/>
      <c r="O129" s="5"/>
      <c r="P129" s="5"/>
      <c r="Q129" s="5"/>
    </row>
    <row r="130" spans="12:17" x14ac:dyDescent="0.2">
      <c r="L130" s="5"/>
      <c r="M130" s="5"/>
      <c r="N130" s="5"/>
      <c r="O130" s="5"/>
      <c r="P130" s="5"/>
      <c r="Q130" s="5"/>
    </row>
    <row r="131" spans="12:17" x14ac:dyDescent="0.2">
      <c r="L131" s="5"/>
      <c r="M131" s="5"/>
      <c r="N131" s="5"/>
      <c r="O131" s="5"/>
      <c r="P131" s="5"/>
      <c r="Q131" s="5"/>
    </row>
    <row r="132" spans="12:17" x14ac:dyDescent="0.2">
      <c r="L132" s="5"/>
      <c r="M132" s="5"/>
      <c r="N132" s="5"/>
      <c r="O132" s="5"/>
      <c r="P132" s="5"/>
      <c r="Q132" s="5"/>
    </row>
    <row r="133" spans="12:17" x14ac:dyDescent="0.2">
      <c r="L133" s="5"/>
      <c r="M133" s="5"/>
      <c r="N133" s="5"/>
      <c r="O133" s="5"/>
      <c r="P133" s="5"/>
      <c r="Q133" s="5"/>
    </row>
    <row r="134" spans="12:17" x14ac:dyDescent="0.2">
      <c r="L134" s="5"/>
      <c r="M134" s="5"/>
      <c r="N134" s="5"/>
      <c r="O134" s="5"/>
      <c r="P134" s="5"/>
      <c r="Q134" s="5"/>
    </row>
    <row r="135" spans="12:17" x14ac:dyDescent="0.2">
      <c r="L135" s="5"/>
      <c r="M135" s="5"/>
      <c r="N135" s="5"/>
      <c r="O135" s="5"/>
      <c r="P135" s="5"/>
      <c r="Q135" s="5"/>
    </row>
    <row r="136" spans="12:17" x14ac:dyDescent="0.2">
      <c r="L136" s="5"/>
      <c r="M136" s="5"/>
      <c r="N136" s="5"/>
      <c r="O136" s="5"/>
      <c r="P136" s="5"/>
      <c r="Q136" s="5"/>
    </row>
    <row r="137" spans="12:17" x14ac:dyDescent="0.2">
      <c r="L137" s="5"/>
      <c r="M137" s="5"/>
      <c r="N137" s="5"/>
      <c r="O137" s="5"/>
      <c r="P137" s="5"/>
      <c r="Q137" s="5"/>
    </row>
    <row r="138" spans="12:17" x14ac:dyDescent="0.2">
      <c r="L138" s="5"/>
      <c r="M138" s="5"/>
      <c r="N138" s="5"/>
      <c r="O138" s="5"/>
      <c r="P138" s="5"/>
      <c r="Q138" s="5"/>
    </row>
    <row r="139" spans="12:17" x14ac:dyDescent="0.2">
      <c r="L139" s="5"/>
      <c r="M139" s="5"/>
      <c r="N139" s="5"/>
      <c r="O139" s="5"/>
      <c r="P139" s="5"/>
      <c r="Q139" s="5"/>
    </row>
    <row r="140" spans="12:17" x14ac:dyDescent="0.2">
      <c r="L140" s="5"/>
      <c r="M140" s="5"/>
      <c r="N140" s="5"/>
      <c r="O140" s="5"/>
      <c r="P140" s="5"/>
      <c r="Q140" s="5"/>
    </row>
    <row r="141" spans="12:17" x14ac:dyDescent="0.2">
      <c r="L141" s="5"/>
      <c r="M141" s="5"/>
      <c r="N141" s="5"/>
      <c r="O141" s="5"/>
      <c r="P141" s="5"/>
      <c r="Q141" s="5"/>
    </row>
    <row r="142" spans="12:17" x14ac:dyDescent="0.2">
      <c r="L142" s="5"/>
      <c r="M142" s="5"/>
      <c r="N142" s="5"/>
      <c r="O142" s="5"/>
      <c r="P142" s="5"/>
      <c r="Q142" s="5"/>
    </row>
    <row r="143" spans="12:17" x14ac:dyDescent="0.2">
      <c r="L143" s="5"/>
      <c r="M143" s="5"/>
      <c r="N143" s="5"/>
      <c r="O143" s="5"/>
      <c r="P143" s="5"/>
      <c r="Q143" s="5"/>
    </row>
    <row r="144" spans="12:17" x14ac:dyDescent="0.2">
      <c r="L144" s="5"/>
      <c r="M144" s="5"/>
      <c r="N144" s="5"/>
      <c r="O144" s="5"/>
      <c r="P144" s="5"/>
      <c r="Q144" s="5"/>
    </row>
    <row r="145" spans="12:17" x14ac:dyDescent="0.2">
      <c r="L145" s="5"/>
      <c r="M145" s="5"/>
      <c r="N145" s="5"/>
      <c r="O145" s="5"/>
      <c r="P145" s="5"/>
      <c r="Q145" s="5"/>
    </row>
    <row r="146" spans="12:17" x14ac:dyDescent="0.2">
      <c r="L146" s="5"/>
      <c r="M146" s="5"/>
      <c r="N146" s="5"/>
      <c r="O146" s="5"/>
      <c r="P146" s="5"/>
      <c r="Q146" s="5"/>
    </row>
    <row r="147" spans="12:17" x14ac:dyDescent="0.2">
      <c r="L147" s="5"/>
      <c r="M147" s="5"/>
      <c r="N147" s="5"/>
      <c r="O147" s="5"/>
      <c r="P147" s="5"/>
      <c r="Q147" s="5"/>
    </row>
    <row r="148" spans="12:17" x14ac:dyDescent="0.2">
      <c r="L148" s="5"/>
      <c r="M148" s="5"/>
      <c r="N148" s="5"/>
      <c r="O148" s="5"/>
      <c r="P148" s="5"/>
      <c r="Q148" s="5"/>
    </row>
    <row r="149" spans="12:17" x14ac:dyDescent="0.2">
      <c r="L149" s="5"/>
      <c r="M149" s="5"/>
      <c r="N149" s="5"/>
      <c r="O149" s="5"/>
      <c r="P149" s="5"/>
      <c r="Q149" s="5"/>
    </row>
    <row r="150" spans="12:17" x14ac:dyDescent="0.2">
      <c r="L150" s="5"/>
      <c r="M150" s="5"/>
      <c r="N150" s="5"/>
      <c r="O150" s="5"/>
      <c r="P150" s="5"/>
      <c r="Q150" s="5"/>
    </row>
    <row r="151" spans="12:17" x14ac:dyDescent="0.2">
      <c r="L151" s="5"/>
      <c r="M151" s="5"/>
      <c r="N151" s="5"/>
      <c r="O151" s="5"/>
      <c r="P151" s="5"/>
      <c r="Q151" s="5"/>
    </row>
    <row r="152" spans="12:17" x14ac:dyDescent="0.2">
      <c r="L152" s="5"/>
      <c r="M152" s="5"/>
      <c r="N152" s="5"/>
      <c r="O152" s="5"/>
      <c r="P152" s="5"/>
      <c r="Q152" s="5"/>
    </row>
    <row r="153" spans="12:17" x14ac:dyDescent="0.2">
      <c r="L153" s="5"/>
      <c r="M153" s="5"/>
      <c r="N153" s="5"/>
      <c r="O153" s="5"/>
      <c r="P153" s="5"/>
      <c r="Q153" s="5"/>
    </row>
    <row r="154" spans="12:17" x14ac:dyDescent="0.2">
      <c r="L154" s="5"/>
      <c r="M154" s="5"/>
      <c r="N154" s="5"/>
      <c r="O154" s="5"/>
      <c r="P154" s="5"/>
      <c r="Q154" s="5"/>
    </row>
    <row r="155" spans="12:17" x14ac:dyDescent="0.2">
      <c r="L155" s="5"/>
      <c r="M155" s="5"/>
      <c r="N155" s="5"/>
      <c r="O155" s="5"/>
      <c r="P155" s="5"/>
      <c r="Q155" s="5"/>
    </row>
    <row r="156" spans="12:17" x14ac:dyDescent="0.2">
      <c r="L156" s="5"/>
      <c r="M156" s="5"/>
      <c r="N156" s="5"/>
      <c r="O156" s="5"/>
      <c r="P156" s="5"/>
      <c r="Q156" s="5"/>
    </row>
    <row r="157" spans="12:17" x14ac:dyDescent="0.2">
      <c r="L157" s="5"/>
      <c r="M157" s="5"/>
      <c r="N157" s="5"/>
      <c r="O157" s="5"/>
      <c r="P157" s="5"/>
      <c r="Q157" s="5"/>
    </row>
    <row r="158" spans="12:17" x14ac:dyDescent="0.2">
      <c r="L158" s="5"/>
      <c r="M158" s="5"/>
      <c r="N158" s="5"/>
      <c r="O158" s="5"/>
      <c r="P158" s="5"/>
      <c r="Q158" s="5"/>
    </row>
    <row r="159" spans="12:17" x14ac:dyDescent="0.2">
      <c r="L159" s="5"/>
      <c r="M159" s="5"/>
      <c r="N159" s="5"/>
      <c r="O159" s="5"/>
      <c r="P159" s="5"/>
      <c r="Q159" s="5"/>
    </row>
    <row r="160" spans="12:17" x14ac:dyDescent="0.2">
      <c r="L160" s="5"/>
      <c r="M160" s="5"/>
      <c r="N160" s="5"/>
      <c r="O160" s="5"/>
      <c r="P160" s="5"/>
      <c r="Q160" s="5"/>
    </row>
    <row r="161" spans="12:17" x14ac:dyDescent="0.2">
      <c r="L161" s="5"/>
      <c r="M161" s="5"/>
      <c r="N161" s="5"/>
      <c r="O161" s="5"/>
      <c r="P161" s="5"/>
      <c r="Q161" s="5"/>
    </row>
  </sheetData>
  <sheetProtection password="CF85" sheet="1" objects="1" scenarios="1"/>
  <mergeCells count="25">
    <mergeCell ref="B106:B115"/>
    <mergeCell ref="I105:J105"/>
    <mergeCell ref="B22:B31"/>
    <mergeCell ref="B36:B45"/>
    <mergeCell ref="B50:B59"/>
    <mergeCell ref="B64:B73"/>
    <mergeCell ref="B78:B87"/>
    <mergeCell ref="B92:B101"/>
    <mergeCell ref="I35:J35"/>
    <mergeCell ref="I49:J49"/>
    <mergeCell ref="I63:J63"/>
    <mergeCell ref="I77:J77"/>
    <mergeCell ref="I91:J91"/>
    <mergeCell ref="C2:J3"/>
    <mergeCell ref="A5:B6"/>
    <mergeCell ref="C5:C6"/>
    <mergeCell ref="D5:D6"/>
    <mergeCell ref="E5:E6"/>
    <mergeCell ref="A2:B3"/>
    <mergeCell ref="I21:J21"/>
    <mergeCell ref="H11:J11"/>
    <mergeCell ref="A14:B14"/>
    <mergeCell ref="E14:H14"/>
    <mergeCell ref="I14:J14"/>
    <mergeCell ref="A11:B11"/>
  </mergeCells>
  <pageMargins left="0.70866141732283472" right="0.70866141732283472" top="0.78740157480314965" bottom="0.78740157480314965" header="0.31496062992125984" footer="0.31496062992125984"/>
  <pageSetup paperSize="9" scale="82" fitToHeight="2" orientation="portrait" r:id="rId1"/>
  <headerFooter>
    <oddFooter>&amp;R&amp;D</oddFooter>
  </headerFooter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Ausgangsdaten</vt:lpstr>
      <vt:lpstr>Budgets LR</vt:lpstr>
      <vt:lpstr>Weiterführung LR</vt:lpstr>
      <vt:lpstr>Änderungen LR</vt:lpstr>
      <vt:lpstr>Zinsänderung</vt:lpstr>
      <vt:lpstr>Investitionen</vt:lpstr>
      <vt:lpstr>Abschreibungen</vt:lpstr>
      <vt:lpstr>Zusammenfassung</vt:lpstr>
      <vt:lpstr>Abschr. Bilanzfehlbetrag</vt:lpstr>
      <vt:lpstr>'Abschr. Bilanzfehlbetrag'!Druckbereich</vt:lpstr>
      <vt:lpstr>Abschreibungen!Druckbereich</vt:lpstr>
      <vt:lpstr>'Änderungen LR'!Druckbereich</vt:lpstr>
      <vt:lpstr>Ausgangsdaten!Druckbereich</vt:lpstr>
      <vt:lpstr>'Budgets LR'!Druckbereich</vt:lpstr>
      <vt:lpstr>Investitionen!Druckbereich</vt:lpstr>
      <vt:lpstr>'Weiterführung LR'!Druckbereich</vt:lpstr>
      <vt:lpstr>Zinsänderung!Druckbereich</vt:lpstr>
      <vt:lpstr>Zusammenfassung!Druckbereich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Meinrad Birrer</dc:creator>
  <cp:lastModifiedBy>Florian Meister</cp:lastModifiedBy>
  <cp:lastPrinted>2017-01-24T15:22:50Z</cp:lastPrinted>
  <dcterms:created xsi:type="dcterms:W3CDTF">2006-04-26T07:06:43Z</dcterms:created>
  <dcterms:modified xsi:type="dcterms:W3CDTF">2018-07-24T14:26:12Z</dcterms:modified>
</cp:coreProperties>
</file>